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Fernando\Desktop\NTC\ÍNDICEs\"/>
    </mc:Choice>
  </mc:AlternateContent>
  <xr:revisionPtr revIDLastSave="0" documentId="13_ncr:1_{A7D7B7E1-7A8D-4259-8BD9-68EFC2ED7C73}" xr6:coauthVersionLast="31" xr6:coauthVersionMax="31" xr10:uidLastSave="{00000000-0000-0000-0000-000000000000}"/>
  <workbookProtection workbookPassword="ECF7" lockStructure="1"/>
  <bookViews>
    <workbookView xWindow="600" yWindow="990" windowWidth="19395" windowHeight="5760" xr2:uid="{00000000-000D-0000-FFFF-FFFF00000000}"/>
  </bookViews>
  <sheets>
    <sheet name="Painel" sheetId="6" r:id="rId1"/>
    <sheet name="Diesel_S500" sheetId="1" r:id="rId2"/>
    <sheet name="Diesel_S10" sheetId="2" r:id="rId3"/>
    <sheet name="ARLA_32" sheetId="3" r:id="rId4"/>
    <sheet name="Gasolina" sheetId="4" r:id="rId5"/>
    <sheet name="Etanol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</externalReferences>
  <definedNames>
    <definedName name="_xlnm.Print_Area" localSheetId="3">ARLA_32!$A$1:$H$45</definedName>
    <definedName name="_xlnm.Print_Area" localSheetId="2">Diesel_S10!$A$1:$H$82</definedName>
    <definedName name="_xlnm.Print_Area" localSheetId="1">Diesel_S500!$B$1:$I$294</definedName>
    <definedName name="_xlnm.Print_Area" localSheetId="0">Painel!$B$1:$F$36</definedName>
    <definedName name="_xlnm.Print_Titles" localSheetId="1">Diesel_S500!$1:$7</definedName>
  </definedNames>
  <calcPr calcId="179017"/>
  <fileRecoveryPr autoRecover="0"/>
</workbook>
</file>

<file path=xl/calcChain.xml><?xml version="1.0" encoding="utf-8"?>
<calcChain xmlns="http://schemas.openxmlformats.org/spreadsheetml/2006/main">
  <c r="C9" i="6" l="1"/>
  <c r="H226" i="5" l="1"/>
  <c r="H150" i="5"/>
  <c r="H149" i="5"/>
  <c r="H148" i="5"/>
  <c r="H147" i="5"/>
  <c r="H146" i="5"/>
  <c r="H145" i="5"/>
  <c r="H144" i="5"/>
  <c r="H143" i="5"/>
  <c r="H142" i="5"/>
  <c r="H141" i="5"/>
  <c r="H140" i="5"/>
  <c r="H139" i="5"/>
  <c r="H226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81" i="3"/>
  <c r="H81" i="2"/>
  <c r="A81" i="2"/>
  <c r="A81" i="3" s="1"/>
  <c r="A226" i="4" s="1"/>
  <c r="A226" i="5" s="1"/>
  <c r="I293" i="1"/>
  <c r="I12" i="1"/>
  <c r="A293" i="1"/>
  <c r="B225" i="5"/>
  <c r="B224" i="5"/>
  <c r="H224" i="5" s="1"/>
  <c r="B225" i="4"/>
  <c r="H225" i="4" s="1"/>
  <c r="B224" i="4"/>
  <c r="H224" i="4" s="1"/>
  <c r="B80" i="3"/>
  <c r="H80" i="3" s="1"/>
  <c r="B79" i="3"/>
  <c r="H79" i="3" s="1"/>
  <c r="B80" i="2"/>
  <c r="H80" i="2" s="1"/>
  <c r="B79" i="2"/>
  <c r="H79" i="2" s="1"/>
  <c r="H225" i="5" l="1"/>
  <c r="D226" i="5"/>
  <c r="D225" i="5"/>
  <c r="D226" i="4"/>
  <c r="D225" i="4"/>
  <c r="D81" i="3"/>
  <c r="D81" i="2"/>
  <c r="D80" i="3"/>
  <c r="D80" i="2"/>
  <c r="B291" i="1"/>
  <c r="A79" i="2" s="1"/>
  <c r="A79" i="3" s="1"/>
  <c r="A224" i="4" s="1"/>
  <c r="A224" i="5" s="1"/>
  <c r="C291" i="1"/>
  <c r="I291" i="1" s="1"/>
  <c r="B292" i="1"/>
  <c r="A80" i="2" s="1"/>
  <c r="C292" i="1"/>
  <c r="I292" i="1" l="1"/>
  <c r="E293" i="1"/>
  <c r="A80" i="3"/>
  <c r="A225" i="4" s="1"/>
  <c r="A225" i="5" s="1"/>
  <c r="E292" i="1"/>
  <c r="B223" i="5"/>
  <c r="H223" i="5" s="1"/>
  <c r="B222" i="5"/>
  <c r="H222" i="5" s="1"/>
  <c r="B223" i="4"/>
  <c r="H223" i="4" s="1"/>
  <c r="B222" i="4"/>
  <c r="H222" i="4" s="1"/>
  <c r="B78" i="3"/>
  <c r="H78" i="3" s="1"/>
  <c r="D224" i="5" l="1"/>
  <c r="D224" i="4"/>
  <c r="D79" i="3"/>
  <c r="D223" i="5"/>
  <c r="D223" i="4"/>
  <c r="B77" i="3" l="1"/>
  <c r="H77" i="3" s="1"/>
  <c r="B76" i="3"/>
  <c r="H76" i="3" s="1"/>
  <c r="D78" i="3" l="1"/>
  <c r="D77" i="3"/>
  <c r="B78" i="2"/>
  <c r="H78" i="2" s="1"/>
  <c r="B77" i="2"/>
  <c r="H77" i="2" s="1"/>
  <c r="B76" i="2"/>
  <c r="H76" i="2" s="1"/>
  <c r="D79" i="2" l="1"/>
  <c r="D77" i="2"/>
  <c r="D78" i="2"/>
  <c r="C290" i="1"/>
  <c r="I290" i="1" s="1"/>
  <c r="B290" i="1"/>
  <c r="A78" i="2" s="1"/>
  <c r="A78" i="3" s="1"/>
  <c r="A223" i="4" s="1"/>
  <c r="A223" i="5" s="1"/>
  <c r="B289" i="1"/>
  <c r="A77" i="2" s="1"/>
  <c r="A77" i="3" s="1"/>
  <c r="A222" i="4" s="1"/>
  <c r="A222" i="5" s="1"/>
  <c r="C289" i="1"/>
  <c r="I289" i="1" s="1"/>
  <c r="E291" i="1" l="1"/>
  <c r="E290" i="1"/>
  <c r="B221" i="5"/>
  <c r="H221" i="5" s="1"/>
  <c r="B221" i="4"/>
  <c r="H221" i="4" s="1"/>
  <c r="D222" i="4" l="1"/>
  <c r="D222" i="5"/>
  <c r="B288" i="1"/>
  <c r="A76" i="2" s="1"/>
  <c r="A76" i="3" s="1"/>
  <c r="A221" i="4" s="1"/>
  <c r="A221" i="5" s="1"/>
  <c r="C8" i="6" l="1"/>
  <c r="H4" i="6" s="1"/>
  <c r="B220" i="5"/>
  <c r="H220" i="5" s="1"/>
  <c r="B220" i="4"/>
  <c r="H220" i="4" s="1"/>
  <c r="B75" i="3"/>
  <c r="H75" i="3" s="1"/>
  <c r="B74" i="3"/>
  <c r="H74" i="3" s="1"/>
  <c r="B75" i="2"/>
  <c r="H75" i="2" s="1"/>
  <c r="B74" i="2"/>
  <c r="H74" i="2" s="1"/>
  <c r="B287" i="1"/>
  <c r="A75" i="2" s="1"/>
  <c r="A75" i="3" s="1"/>
  <c r="A220" i="4" s="1"/>
  <c r="A220" i="5" s="1"/>
  <c r="D76" i="3" l="1"/>
  <c r="D76" i="2"/>
  <c r="D221" i="5"/>
  <c r="D221" i="4"/>
  <c r="D75" i="3"/>
  <c r="D75" i="2"/>
  <c r="B219" i="5" l="1"/>
  <c r="H219" i="5" s="1"/>
  <c r="B219" i="4"/>
  <c r="H219" i="4" s="1"/>
  <c r="B286" i="1"/>
  <c r="A74" i="2" s="1"/>
  <c r="A74" i="3" s="1"/>
  <c r="A219" i="4" s="1"/>
  <c r="A219" i="5" s="1"/>
  <c r="D220" i="4" l="1"/>
  <c r="D220" i="5"/>
  <c r="B218" i="5"/>
  <c r="H218" i="5" s="1"/>
  <c r="B218" i="4"/>
  <c r="H218" i="4" s="1"/>
  <c r="B73" i="3"/>
  <c r="H73" i="3" s="1"/>
  <c r="D74" i="3" l="1"/>
  <c r="D219" i="4"/>
  <c r="D219" i="5"/>
  <c r="B73" i="2"/>
  <c r="H73" i="2" s="1"/>
  <c r="B285" i="1"/>
  <c r="A73" i="2" s="1"/>
  <c r="A73" i="3" s="1"/>
  <c r="A218" i="4" s="1"/>
  <c r="A218" i="5" s="1"/>
  <c r="D74" i="2" l="1"/>
  <c r="B215" i="5"/>
  <c r="H215" i="5" s="1"/>
  <c r="B216" i="5"/>
  <c r="H216" i="5" s="1"/>
  <c r="B217" i="5"/>
  <c r="H217" i="5" s="1"/>
  <c r="B217" i="4"/>
  <c r="H217" i="4" s="1"/>
  <c r="B72" i="3"/>
  <c r="H72" i="3" s="1"/>
  <c r="B72" i="2"/>
  <c r="H72" i="2" s="1"/>
  <c r="B284" i="1"/>
  <c r="A72" i="2" s="1"/>
  <c r="A72" i="3" s="1"/>
  <c r="A217" i="4" s="1"/>
  <c r="A217" i="5" s="1"/>
  <c r="D218" i="4" l="1"/>
  <c r="D218" i="5"/>
  <c r="D73" i="3"/>
  <c r="D73" i="2"/>
  <c r="D217" i="5"/>
  <c r="B216" i="4"/>
  <c r="H216" i="4" s="1"/>
  <c r="B215" i="4"/>
  <c r="H215" i="4" s="1"/>
  <c r="B71" i="3"/>
  <c r="H71" i="3" s="1"/>
  <c r="B70" i="3"/>
  <c r="H70" i="3" s="1"/>
  <c r="A70" i="3"/>
  <c r="A215" i="4" s="1"/>
  <c r="A215" i="5" s="1"/>
  <c r="A71" i="3"/>
  <c r="A216" i="4" s="1"/>
  <c r="A216" i="5" s="1"/>
  <c r="B71" i="2"/>
  <c r="H71" i="2" s="1"/>
  <c r="B70" i="2"/>
  <c r="H70" i="2" s="1"/>
  <c r="B282" i="1"/>
  <c r="A70" i="2" s="1"/>
  <c r="B283" i="1"/>
  <c r="A71" i="2" s="1"/>
  <c r="D217" i="4" l="1"/>
  <c r="D72" i="3"/>
  <c r="D72" i="2"/>
  <c r="D216" i="5"/>
  <c r="D216" i="4"/>
  <c r="D71" i="3"/>
  <c r="D71" i="2"/>
  <c r="B214" i="5" l="1"/>
  <c r="H214" i="5" s="1"/>
  <c r="B213" i="5"/>
  <c r="H213" i="5" s="1"/>
  <c r="B214" i="4"/>
  <c r="B213" i="4"/>
  <c r="H213" i="4" s="1"/>
  <c r="B69" i="3"/>
  <c r="B68" i="3"/>
  <c r="H68" i="3" s="1"/>
  <c r="A68" i="3"/>
  <c r="A213" i="4" s="1"/>
  <c r="A213" i="5" s="1"/>
  <c r="A69" i="3"/>
  <c r="A214" i="4" s="1"/>
  <c r="A214" i="5" s="1"/>
  <c r="B69" i="2"/>
  <c r="H69" i="2" s="1"/>
  <c r="B68" i="2"/>
  <c r="H68" i="2" s="1"/>
  <c r="B280" i="1"/>
  <c r="A68" i="2" s="1"/>
  <c r="B281" i="1"/>
  <c r="A69" i="2" s="1"/>
  <c r="H214" i="4" l="1"/>
  <c r="F226" i="4"/>
  <c r="F81" i="3"/>
  <c r="H69" i="3"/>
  <c r="F225" i="4"/>
  <c r="F80" i="3"/>
  <c r="F81" i="2"/>
  <c r="F80" i="2"/>
  <c r="D215" i="4"/>
  <c r="D70" i="2"/>
  <c r="D70" i="3"/>
  <c r="D215" i="5"/>
  <c r="D69" i="2"/>
  <c r="D214" i="5"/>
  <c r="D214" i="4"/>
  <c r="D69" i="3"/>
  <c r="B212" i="5"/>
  <c r="H212" i="5" s="1"/>
  <c r="B212" i="4"/>
  <c r="H212" i="4" s="1"/>
  <c r="B67" i="3"/>
  <c r="H67" i="3" s="1"/>
  <c r="A67" i="3"/>
  <c r="A212" i="4" s="1"/>
  <c r="A212" i="5" s="1"/>
  <c r="B67" i="2"/>
  <c r="H67" i="2" s="1"/>
  <c r="B279" i="1"/>
  <c r="A67" i="2" s="1"/>
  <c r="F224" i="4" l="1"/>
  <c r="F79" i="3"/>
  <c r="F79" i="2"/>
  <c r="D213" i="5"/>
  <c r="D68" i="2"/>
  <c r="D213" i="4"/>
  <c r="D68" i="3"/>
  <c r="B211" i="5"/>
  <c r="H211" i="5" s="1"/>
  <c r="B210" i="5"/>
  <c r="H210" i="5" s="1"/>
  <c r="B209" i="5"/>
  <c r="H209" i="5" s="1"/>
  <c r="B208" i="5"/>
  <c r="H208" i="5" s="1"/>
  <c r="B207" i="5"/>
  <c r="H207" i="5" s="1"/>
  <c r="B206" i="5"/>
  <c r="H206" i="5" s="1"/>
  <c r="B205" i="5"/>
  <c r="H205" i="5" s="1"/>
  <c r="B204" i="5"/>
  <c r="H204" i="5" s="1"/>
  <c r="B203" i="5"/>
  <c r="H203" i="5" s="1"/>
  <c r="A203" i="5"/>
  <c r="A204" i="5"/>
  <c r="A205" i="5"/>
  <c r="A206" i="5"/>
  <c r="A207" i="5"/>
  <c r="A208" i="5"/>
  <c r="A209" i="5"/>
  <c r="A210" i="5"/>
  <c r="A211" i="5"/>
  <c r="B211" i="4"/>
  <c r="H211" i="4" s="1"/>
  <c r="B210" i="4"/>
  <c r="B209" i="4"/>
  <c r="H209" i="4" s="1"/>
  <c r="B208" i="4"/>
  <c r="H208" i="4" s="1"/>
  <c r="B207" i="4"/>
  <c r="H207" i="4" s="1"/>
  <c r="B206" i="4"/>
  <c r="H206" i="4" s="1"/>
  <c r="B205" i="4"/>
  <c r="H205" i="4" s="1"/>
  <c r="B204" i="4"/>
  <c r="H204" i="4" s="1"/>
  <c r="B203" i="4"/>
  <c r="H203" i="4" s="1"/>
  <c r="B66" i="3"/>
  <c r="H66" i="3" s="1"/>
  <c r="B65" i="3"/>
  <c r="B64" i="3"/>
  <c r="H64" i="3" s="1"/>
  <c r="B63" i="3"/>
  <c r="H63" i="3" s="1"/>
  <c r="B62" i="3"/>
  <c r="H62" i="3" s="1"/>
  <c r="B61" i="3"/>
  <c r="H61" i="3" s="1"/>
  <c r="B60" i="3"/>
  <c r="H60" i="3" s="1"/>
  <c r="B59" i="3"/>
  <c r="H59" i="3" s="1"/>
  <c r="B58" i="3"/>
  <c r="H58" i="3" s="1"/>
  <c r="B57" i="3"/>
  <c r="B56" i="3"/>
  <c r="H56" i="3" s="1"/>
  <c r="B55" i="3"/>
  <c r="H55" i="3" s="1"/>
  <c r="B54" i="3"/>
  <c r="H54" i="3" s="1"/>
  <c r="B53" i="3"/>
  <c r="H53" i="3" s="1"/>
  <c r="B52" i="3"/>
  <c r="H52" i="3" s="1"/>
  <c r="B51" i="3"/>
  <c r="H51" i="3" s="1"/>
  <c r="B50" i="3"/>
  <c r="H50" i="3" s="1"/>
  <c r="B49" i="3"/>
  <c r="H49" i="3" s="1"/>
  <c r="B48" i="3"/>
  <c r="H48" i="3" s="1"/>
  <c r="B47" i="3"/>
  <c r="H47" i="3" s="1"/>
  <c r="B46" i="3"/>
  <c r="H46" i="3" s="1"/>
  <c r="B45" i="3"/>
  <c r="H45" i="3" s="1"/>
  <c r="B44" i="3"/>
  <c r="H44" i="3" s="1"/>
  <c r="B43" i="3"/>
  <c r="H43" i="3" s="1"/>
  <c r="B42" i="3"/>
  <c r="H42" i="3" s="1"/>
  <c r="B41" i="3"/>
  <c r="H41" i="3" s="1"/>
  <c r="B40" i="3"/>
  <c r="H40" i="3" s="1"/>
  <c r="B39" i="3"/>
  <c r="H39" i="3" s="1"/>
  <c r="B38" i="3"/>
  <c r="H38" i="3" s="1"/>
  <c r="B37" i="3"/>
  <c r="H37" i="3" s="1"/>
  <c r="B36" i="3"/>
  <c r="H36" i="3" s="1"/>
  <c r="B35" i="3"/>
  <c r="H35" i="3" s="1"/>
  <c r="B34" i="3"/>
  <c r="H34" i="3" s="1"/>
  <c r="B33" i="3"/>
  <c r="H33" i="3" s="1"/>
  <c r="B32" i="3"/>
  <c r="H32" i="3" s="1"/>
  <c r="B31" i="3"/>
  <c r="H31" i="3" s="1"/>
  <c r="B30" i="3"/>
  <c r="H30" i="3" s="1"/>
  <c r="B29" i="3"/>
  <c r="H29" i="3" s="1"/>
  <c r="B28" i="3"/>
  <c r="H28" i="3" s="1"/>
  <c r="B27" i="3"/>
  <c r="H27" i="3" s="1"/>
  <c r="B26" i="3"/>
  <c r="H26" i="3" s="1"/>
  <c r="B25" i="3"/>
  <c r="H25" i="3" s="1"/>
  <c r="B24" i="3"/>
  <c r="H24" i="3" s="1"/>
  <c r="B23" i="3"/>
  <c r="H23" i="3" s="1"/>
  <c r="B22" i="3"/>
  <c r="H22" i="3" s="1"/>
  <c r="B21" i="3"/>
  <c r="H21" i="3" s="1"/>
  <c r="B20" i="3"/>
  <c r="H20" i="3" s="1"/>
  <c r="B19" i="3"/>
  <c r="H19" i="3" s="1"/>
  <c r="B18" i="3"/>
  <c r="H18" i="3" s="1"/>
  <c r="B17" i="3"/>
  <c r="H17" i="3" s="1"/>
  <c r="B16" i="3"/>
  <c r="H16" i="3" s="1"/>
  <c r="B15" i="3"/>
  <c r="H15" i="3" s="1"/>
  <c r="B14" i="3"/>
  <c r="H14" i="3" s="1"/>
  <c r="B13" i="3"/>
  <c r="H13" i="3" s="1"/>
  <c r="B12" i="3"/>
  <c r="H12" i="3" s="1"/>
  <c r="B11" i="3"/>
  <c r="H11" i="3" s="1"/>
  <c r="B10" i="3"/>
  <c r="H10" i="3" s="1"/>
  <c r="B9" i="3"/>
  <c r="H9" i="3" s="1"/>
  <c r="B8" i="3"/>
  <c r="E226" i="4" l="1"/>
  <c r="H210" i="4"/>
  <c r="H57" i="3"/>
  <c r="G81" i="3"/>
  <c r="H65" i="3"/>
  <c r="E81" i="3"/>
  <c r="H8" i="3"/>
  <c r="C81" i="3"/>
  <c r="E225" i="4"/>
  <c r="E224" i="4"/>
  <c r="E80" i="3"/>
  <c r="E79" i="3"/>
  <c r="G79" i="3"/>
  <c r="C79" i="3"/>
  <c r="C80" i="3"/>
  <c r="G80" i="3"/>
  <c r="E223" i="4"/>
  <c r="F222" i="4"/>
  <c r="E222" i="4"/>
  <c r="F223" i="4"/>
  <c r="G78" i="3"/>
  <c r="F78" i="3"/>
  <c r="C78" i="3"/>
  <c r="C77" i="3"/>
  <c r="G77" i="3"/>
  <c r="F77" i="3"/>
  <c r="E77" i="3"/>
  <c r="E78" i="3"/>
  <c r="C76" i="3"/>
  <c r="F76" i="3"/>
  <c r="E221" i="4"/>
  <c r="G76" i="3"/>
  <c r="E76" i="3"/>
  <c r="F221" i="4"/>
  <c r="E220" i="4"/>
  <c r="G75" i="3"/>
  <c r="F75" i="3"/>
  <c r="C75" i="3"/>
  <c r="F220" i="4"/>
  <c r="E75" i="3"/>
  <c r="G74" i="3"/>
  <c r="F74" i="3"/>
  <c r="E219" i="4"/>
  <c r="C74" i="3"/>
  <c r="E74" i="3"/>
  <c r="F219" i="4"/>
  <c r="F218" i="4"/>
  <c r="E218" i="4"/>
  <c r="C73" i="3"/>
  <c r="G73" i="3"/>
  <c r="F73" i="3"/>
  <c r="E73" i="3"/>
  <c r="E72" i="3"/>
  <c r="E217" i="4"/>
  <c r="F217" i="4"/>
  <c r="C72" i="3"/>
  <c r="G72" i="3"/>
  <c r="F72" i="3"/>
  <c r="C71" i="3"/>
  <c r="C70" i="3"/>
  <c r="F216" i="4"/>
  <c r="G71" i="3"/>
  <c r="E70" i="3"/>
  <c r="E71" i="3"/>
  <c r="F71" i="3"/>
  <c r="F215" i="4"/>
  <c r="G70" i="3"/>
  <c r="F70" i="3"/>
  <c r="E215" i="4"/>
  <c r="E216" i="4"/>
  <c r="C69" i="3"/>
  <c r="C68" i="3"/>
  <c r="G68" i="3"/>
  <c r="F68" i="3"/>
  <c r="G69" i="3"/>
  <c r="F69" i="3"/>
  <c r="E69" i="3"/>
  <c r="E68" i="3"/>
  <c r="E214" i="4"/>
  <c r="E213" i="4"/>
  <c r="D206" i="4"/>
  <c r="D210" i="4"/>
  <c r="D209" i="4"/>
  <c r="D67" i="3"/>
  <c r="D204" i="4"/>
  <c r="D208" i="4"/>
  <c r="D212" i="4"/>
  <c r="G67" i="3"/>
  <c r="F67" i="3"/>
  <c r="D205" i="4"/>
  <c r="C67" i="3"/>
  <c r="D212" i="5"/>
  <c r="E67" i="3"/>
  <c r="E212" i="4"/>
  <c r="D208" i="5"/>
  <c r="E211" i="4"/>
  <c r="D207" i="4"/>
  <c r="D211" i="4"/>
  <c r="D211" i="5"/>
  <c r="D209" i="5"/>
  <c r="D210" i="5"/>
  <c r="D207" i="5"/>
  <c r="D206" i="5"/>
  <c r="D205" i="5"/>
  <c r="D204" i="5"/>
  <c r="F65" i="3" l="1"/>
  <c r="G64" i="3"/>
  <c r="F61" i="3"/>
  <c r="F59" i="3"/>
  <c r="D58" i="3"/>
  <c r="A65" i="3"/>
  <c r="A210" i="4" s="1"/>
  <c r="A66" i="3"/>
  <c r="A211" i="4" s="1"/>
  <c r="A64" i="3"/>
  <c r="A209" i="4" s="1"/>
  <c r="A63" i="3"/>
  <c r="A208" i="4" s="1"/>
  <c r="A62" i="3"/>
  <c r="A207" i="4" s="1"/>
  <c r="A61" i="3"/>
  <c r="A206" i="4" s="1"/>
  <c r="A60" i="3"/>
  <c r="A205" i="4" s="1"/>
  <c r="A59" i="3"/>
  <c r="A204" i="4" s="1"/>
  <c r="A58" i="3"/>
  <c r="A203" i="4" s="1"/>
  <c r="E58" i="3"/>
  <c r="F58" i="3"/>
  <c r="G58" i="3"/>
  <c r="D59" i="3"/>
  <c r="E59" i="3"/>
  <c r="E60" i="3"/>
  <c r="F60" i="3"/>
  <c r="G60" i="3"/>
  <c r="D61" i="3"/>
  <c r="E61" i="3"/>
  <c r="E62" i="3"/>
  <c r="F62" i="3"/>
  <c r="G62" i="3"/>
  <c r="D63" i="3"/>
  <c r="E63" i="3"/>
  <c r="F63" i="3"/>
  <c r="E64" i="3"/>
  <c r="F64" i="3"/>
  <c r="G65" i="3" l="1"/>
  <c r="E65" i="3"/>
  <c r="E66" i="3"/>
  <c r="D66" i="3"/>
  <c r="G66" i="3"/>
  <c r="D65" i="3"/>
  <c r="D64" i="3"/>
  <c r="G63" i="3"/>
  <c r="D62" i="3"/>
  <c r="G61" i="3"/>
  <c r="D60" i="3"/>
  <c r="G59" i="3"/>
  <c r="B66" i="2"/>
  <c r="H66" i="2" s="1"/>
  <c r="B65" i="2"/>
  <c r="H65" i="2" s="1"/>
  <c r="E81" i="2" l="1"/>
  <c r="E80" i="2"/>
  <c r="E79" i="2"/>
  <c r="E78" i="2"/>
  <c r="E77" i="2"/>
  <c r="F77" i="2"/>
  <c r="F78" i="2"/>
  <c r="E76" i="2"/>
  <c r="E75" i="2"/>
  <c r="E74" i="2"/>
  <c r="E73" i="2"/>
  <c r="E72" i="2"/>
  <c r="E71" i="2"/>
  <c r="E70" i="2"/>
  <c r="E68" i="2"/>
  <c r="E69" i="2"/>
  <c r="E67" i="2"/>
  <c r="D67" i="2"/>
  <c r="E66" i="2"/>
  <c r="D66" i="2"/>
  <c r="B278" i="1" l="1"/>
  <c r="A66" i="2" s="1"/>
  <c r="B277" i="1" l="1"/>
  <c r="A65" i="2" s="1"/>
  <c r="B64" i="2" l="1"/>
  <c r="H64" i="2" s="1"/>
  <c r="B276" i="1"/>
  <c r="A64" i="2" s="1"/>
  <c r="F76" i="2" l="1"/>
  <c r="D65" i="2"/>
  <c r="B63" i="2"/>
  <c r="H63" i="2" s="1"/>
  <c r="B62" i="2"/>
  <c r="H62" i="2" s="1"/>
  <c r="B61" i="2"/>
  <c r="H61" i="2" s="1"/>
  <c r="B60" i="2"/>
  <c r="H60" i="2" s="1"/>
  <c r="B59" i="2"/>
  <c r="H59" i="2" s="1"/>
  <c r="B58" i="2"/>
  <c r="H58" i="2" s="1"/>
  <c r="B275" i="1"/>
  <c r="A63" i="2" s="1"/>
  <c r="F75" i="2" l="1"/>
  <c r="F74" i="2"/>
  <c r="F73" i="2"/>
  <c r="F72" i="2"/>
  <c r="F70" i="2"/>
  <c r="F71" i="2"/>
  <c r="D60" i="2"/>
  <c r="D64" i="2"/>
  <c r="D61" i="2"/>
  <c r="D59" i="2"/>
  <c r="D63" i="2"/>
  <c r="D62" i="2"/>
  <c r="B274" i="1"/>
  <c r="A62" i="2" s="1"/>
  <c r="B273" i="1" l="1"/>
  <c r="A61" i="2" s="1"/>
  <c r="B272" i="1" l="1"/>
  <c r="A60" i="2" s="1"/>
  <c r="B271" i="1" l="1"/>
  <c r="A59" i="2" s="1"/>
  <c r="B270" i="1" l="1"/>
  <c r="A58" i="2" s="1"/>
  <c r="B202" i="5" l="1"/>
  <c r="H202" i="5" s="1"/>
  <c r="A202" i="5"/>
  <c r="B202" i="4"/>
  <c r="A57" i="3"/>
  <c r="A202" i="4" s="1"/>
  <c r="B57" i="2"/>
  <c r="H57" i="2" s="1"/>
  <c r="B269" i="1"/>
  <c r="A57" i="2" s="1"/>
  <c r="H202" i="4" l="1"/>
  <c r="G226" i="4"/>
  <c r="F214" i="4"/>
  <c r="F69" i="2"/>
  <c r="D203" i="5"/>
  <c r="D203" i="4"/>
  <c r="D58" i="2"/>
  <c r="I8" i="6"/>
  <c r="B201" i="5" l="1"/>
  <c r="H201" i="5" s="1"/>
  <c r="A201" i="5"/>
  <c r="B201" i="4"/>
  <c r="H201" i="4" s="1"/>
  <c r="A56" i="3"/>
  <c r="A201" i="4" s="1"/>
  <c r="B56" i="2"/>
  <c r="H56" i="2" s="1"/>
  <c r="B268" i="1"/>
  <c r="A56" i="2" s="1"/>
  <c r="G225" i="4" l="1"/>
  <c r="F213" i="4"/>
  <c r="F68" i="2"/>
  <c r="D57" i="3"/>
  <c r="D202" i="4"/>
  <c r="D57" i="2"/>
  <c r="D202" i="5"/>
  <c r="B200" i="5"/>
  <c r="H200" i="5" s="1"/>
  <c r="A200" i="5"/>
  <c r="B199" i="5"/>
  <c r="H199" i="5" s="1"/>
  <c r="A199" i="5"/>
  <c r="B198" i="5"/>
  <c r="H198" i="5" s="1"/>
  <c r="A198" i="5"/>
  <c r="B197" i="5"/>
  <c r="H197" i="5" s="1"/>
  <c r="A197" i="5"/>
  <c r="B196" i="5"/>
  <c r="H196" i="5" s="1"/>
  <c r="B195" i="5"/>
  <c r="H195" i="5" s="1"/>
  <c r="B194" i="5"/>
  <c r="H194" i="5" s="1"/>
  <c r="B193" i="5"/>
  <c r="H193" i="5" s="1"/>
  <c r="B192" i="5"/>
  <c r="H192" i="5" s="1"/>
  <c r="B191" i="5"/>
  <c r="H191" i="5" s="1"/>
  <c r="B190" i="5"/>
  <c r="H190" i="5" s="1"/>
  <c r="B189" i="5"/>
  <c r="H189" i="5" s="1"/>
  <c r="B188" i="5"/>
  <c r="H188" i="5" s="1"/>
  <c r="B187" i="5"/>
  <c r="H187" i="5" s="1"/>
  <c r="B186" i="5"/>
  <c r="H186" i="5" s="1"/>
  <c r="B185" i="5"/>
  <c r="H185" i="5" s="1"/>
  <c r="B184" i="5"/>
  <c r="H184" i="5" s="1"/>
  <c r="B183" i="5"/>
  <c r="H183" i="5" s="1"/>
  <c r="B182" i="5"/>
  <c r="H182" i="5" s="1"/>
  <c r="B181" i="5"/>
  <c r="H181" i="5" s="1"/>
  <c r="B180" i="5"/>
  <c r="H180" i="5" s="1"/>
  <c r="B179" i="5"/>
  <c r="H179" i="5" s="1"/>
  <c r="B178" i="5"/>
  <c r="H178" i="5" s="1"/>
  <c r="B177" i="5"/>
  <c r="H177" i="5" s="1"/>
  <c r="B176" i="5"/>
  <c r="H176" i="5" s="1"/>
  <c r="B175" i="5"/>
  <c r="H175" i="5" s="1"/>
  <c r="B174" i="5"/>
  <c r="H174" i="5" s="1"/>
  <c r="B173" i="5"/>
  <c r="H173" i="5" s="1"/>
  <c r="B172" i="5"/>
  <c r="H172" i="5" s="1"/>
  <c r="B171" i="5"/>
  <c r="H171" i="5" s="1"/>
  <c r="B170" i="5"/>
  <c r="H170" i="5" s="1"/>
  <c r="B169" i="5"/>
  <c r="H169" i="5" s="1"/>
  <c r="B168" i="5"/>
  <c r="H168" i="5" s="1"/>
  <c r="B167" i="5"/>
  <c r="H167" i="5" s="1"/>
  <c r="B166" i="5"/>
  <c r="H166" i="5" s="1"/>
  <c r="B165" i="5"/>
  <c r="H165" i="5" s="1"/>
  <c r="B164" i="5"/>
  <c r="H164" i="5" s="1"/>
  <c r="B163" i="5"/>
  <c r="H163" i="5" s="1"/>
  <c r="B162" i="5"/>
  <c r="H162" i="5" s="1"/>
  <c r="B161" i="5"/>
  <c r="H161" i="5" s="1"/>
  <c r="B160" i="5"/>
  <c r="H160" i="5" s="1"/>
  <c r="B159" i="5"/>
  <c r="H159" i="5" s="1"/>
  <c r="B158" i="5"/>
  <c r="H158" i="5" s="1"/>
  <c r="B157" i="5"/>
  <c r="H157" i="5" s="1"/>
  <c r="B156" i="5"/>
  <c r="H156" i="5" s="1"/>
  <c r="B155" i="5"/>
  <c r="H155" i="5" s="1"/>
  <c r="B154" i="5"/>
  <c r="H154" i="5" s="1"/>
  <c r="B153" i="5"/>
  <c r="H153" i="5" s="1"/>
  <c r="B152" i="5"/>
  <c r="H152" i="5" s="1"/>
  <c r="B151" i="5"/>
  <c r="H151" i="5" s="1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H138" i="5" s="1"/>
  <c r="B137" i="5"/>
  <c r="H137" i="5" s="1"/>
  <c r="B136" i="5"/>
  <c r="H136" i="5" s="1"/>
  <c r="B135" i="5"/>
  <c r="H135" i="5" s="1"/>
  <c r="B134" i="5"/>
  <c r="H134" i="5" s="1"/>
  <c r="B133" i="5"/>
  <c r="H133" i="5" s="1"/>
  <c r="B132" i="5"/>
  <c r="H132" i="5" s="1"/>
  <c r="B131" i="5"/>
  <c r="H131" i="5" s="1"/>
  <c r="B130" i="5"/>
  <c r="H130" i="5" s="1"/>
  <c r="B129" i="5"/>
  <c r="H129" i="5" s="1"/>
  <c r="B128" i="5"/>
  <c r="H128" i="5" s="1"/>
  <c r="B127" i="5"/>
  <c r="H127" i="5" s="1"/>
  <c r="B126" i="5"/>
  <c r="H126" i="5" s="1"/>
  <c r="B125" i="5"/>
  <c r="H125" i="5" s="1"/>
  <c r="B124" i="5"/>
  <c r="H124" i="5" s="1"/>
  <c r="B123" i="5"/>
  <c r="H123" i="5" s="1"/>
  <c r="B122" i="5"/>
  <c r="H122" i="5" s="1"/>
  <c r="B121" i="5"/>
  <c r="H121" i="5" s="1"/>
  <c r="B120" i="5"/>
  <c r="H120" i="5" s="1"/>
  <c r="B119" i="5"/>
  <c r="H119" i="5" s="1"/>
  <c r="B118" i="5"/>
  <c r="H118" i="5" s="1"/>
  <c r="B117" i="5"/>
  <c r="H117" i="5" s="1"/>
  <c r="B116" i="5"/>
  <c r="H116" i="5" s="1"/>
  <c r="B115" i="5"/>
  <c r="H115" i="5" s="1"/>
  <c r="B114" i="5"/>
  <c r="H114" i="5" s="1"/>
  <c r="B113" i="5"/>
  <c r="H113" i="5" s="1"/>
  <c r="B112" i="5"/>
  <c r="H112" i="5" s="1"/>
  <c r="B111" i="5"/>
  <c r="H111" i="5" s="1"/>
  <c r="B110" i="5"/>
  <c r="H110" i="5" s="1"/>
  <c r="B109" i="5"/>
  <c r="H109" i="5" s="1"/>
  <c r="B108" i="5"/>
  <c r="H108" i="5" s="1"/>
  <c r="B107" i="5"/>
  <c r="H107" i="5" s="1"/>
  <c r="B106" i="5"/>
  <c r="H106" i="5" s="1"/>
  <c r="B105" i="5"/>
  <c r="H105" i="5" s="1"/>
  <c r="B104" i="5"/>
  <c r="H104" i="5" s="1"/>
  <c r="B103" i="5"/>
  <c r="H103" i="5" s="1"/>
  <c r="B102" i="5"/>
  <c r="H102" i="5" s="1"/>
  <c r="B101" i="5"/>
  <c r="H101" i="5" s="1"/>
  <c r="B100" i="5"/>
  <c r="H100" i="5" s="1"/>
  <c r="B99" i="5"/>
  <c r="H99" i="5" s="1"/>
  <c r="B98" i="5"/>
  <c r="H98" i="5" s="1"/>
  <c r="B97" i="5"/>
  <c r="H97" i="5" s="1"/>
  <c r="B96" i="5"/>
  <c r="H96" i="5" s="1"/>
  <c r="B95" i="5"/>
  <c r="H95" i="5" s="1"/>
  <c r="B94" i="5"/>
  <c r="H94" i="5" s="1"/>
  <c r="B93" i="5"/>
  <c r="H93" i="5" s="1"/>
  <c r="B92" i="5"/>
  <c r="H92" i="5" s="1"/>
  <c r="B91" i="5"/>
  <c r="H91" i="5" s="1"/>
  <c r="B90" i="5"/>
  <c r="H90" i="5" s="1"/>
  <c r="B89" i="5"/>
  <c r="H89" i="5" s="1"/>
  <c r="B88" i="5"/>
  <c r="H88" i="5" s="1"/>
  <c r="B87" i="5"/>
  <c r="H87" i="5" s="1"/>
  <c r="B86" i="5"/>
  <c r="H86" i="5" s="1"/>
  <c r="B85" i="5"/>
  <c r="H85" i="5" s="1"/>
  <c r="B84" i="5"/>
  <c r="H84" i="5" s="1"/>
  <c r="B83" i="5"/>
  <c r="H83" i="5" s="1"/>
  <c r="B82" i="5"/>
  <c r="H82" i="5" s="1"/>
  <c r="B81" i="5"/>
  <c r="H81" i="5" s="1"/>
  <c r="B80" i="5"/>
  <c r="H80" i="5" s="1"/>
  <c r="B79" i="5"/>
  <c r="H79" i="5" s="1"/>
  <c r="B78" i="5"/>
  <c r="H78" i="5" s="1"/>
  <c r="B77" i="5"/>
  <c r="H77" i="5" s="1"/>
  <c r="B76" i="5"/>
  <c r="H76" i="5" s="1"/>
  <c r="B75" i="5"/>
  <c r="H75" i="5" s="1"/>
  <c r="B74" i="5"/>
  <c r="H74" i="5" s="1"/>
  <c r="B73" i="5"/>
  <c r="H73" i="5" s="1"/>
  <c r="B72" i="5"/>
  <c r="H72" i="5" s="1"/>
  <c r="B71" i="5"/>
  <c r="H71" i="5" s="1"/>
  <c r="B70" i="5"/>
  <c r="H70" i="5" s="1"/>
  <c r="B69" i="5"/>
  <c r="H69" i="5" s="1"/>
  <c r="B68" i="5"/>
  <c r="H68" i="5" s="1"/>
  <c r="B67" i="5"/>
  <c r="H67" i="5" s="1"/>
  <c r="B66" i="5"/>
  <c r="H66" i="5" s="1"/>
  <c r="B65" i="5"/>
  <c r="H65" i="5" s="1"/>
  <c r="B64" i="5"/>
  <c r="H64" i="5" s="1"/>
  <c r="B63" i="5"/>
  <c r="H63" i="5" s="1"/>
  <c r="B62" i="5"/>
  <c r="H62" i="5" s="1"/>
  <c r="B61" i="5"/>
  <c r="H61" i="5" s="1"/>
  <c r="B60" i="5"/>
  <c r="H60" i="5" s="1"/>
  <c r="B59" i="5"/>
  <c r="H59" i="5" s="1"/>
  <c r="B58" i="5"/>
  <c r="H58" i="5" s="1"/>
  <c r="B57" i="5"/>
  <c r="H57" i="5" s="1"/>
  <c r="B56" i="5"/>
  <c r="H56" i="5" s="1"/>
  <c r="B55" i="5"/>
  <c r="H55" i="5" s="1"/>
  <c r="B54" i="5"/>
  <c r="H54" i="5" s="1"/>
  <c r="B53" i="5"/>
  <c r="H53" i="5" s="1"/>
  <c r="B52" i="5"/>
  <c r="H52" i="5" s="1"/>
  <c r="B51" i="5"/>
  <c r="H51" i="5" s="1"/>
  <c r="B50" i="5"/>
  <c r="H50" i="5" s="1"/>
  <c r="B49" i="5"/>
  <c r="H49" i="5" s="1"/>
  <c r="B48" i="5"/>
  <c r="H48" i="5" s="1"/>
  <c r="B47" i="5"/>
  <c r="H47" i="5" s="1"/>
  <c r="B46" i="5"/>
  <c r="H46" i="5" s="1"/>
  <c r="B45" i="5"/>
  <c r="H45" i="5" s="1"/>
  <c r="B44" i="5"/>
  <c r="H44" i="5" s="1"/>
  <c r="B43" i="5"/>
  <c r="H43" i="5" s="1"/>
  <c r="B42" i="5"/>
  <c r="H42" i="5" s="1"/>
  <c r="B41" i="5"/>
  <c r="H41" i="5" s="1"/>
  <c r="B40" i="5"/>
  <c r="H40" i="5" s="1"/>
  <c r="B39" i="5"/>
  <c r="H39" i="5" s="1"/>
  <c r="B38" i="5"/>
  <c r="H38" i="5" s="1"/>
  <c r="B37" i="5"/>
  <c r="H37" i="5" s="1"/>
  <c r="B36" i="5"/>
  <c r="H36" i="5" s="1"/>
  <c r="B35" i="5"/>
  <c r="H35" i="5" s="1"/>
  <c r="B34" i="5"/>
  <c r="H34" i="5" s="1"/>
  <c r="B33" i="5"/>
  <c r="H33" i="5" s="1"/>
  <c r="B32" i="5"/>
  <c r="H32" i="5" s="1"/>
  <c r="B31" i="5"/>
  <c r="H31" i="5" s="1"/>
  <c r="B30" i="5"/>
  <c r="H30" i="5" s="1"/>
  <c r="B29" i="5"/>
  <c r="H29" i="5" s="1"/>
  <c r="B28" i="5"/>
  <c r="H28" i="5" s="1"/>
  <c r="B27" i="5"/>
  <c r="H27" i="5" s="1"/>
  <c r="B26" i="5"/>
  <c r="H26" i="5" s="1"/>
  <c r="B25" i="5"/>
  <c r="H25" i="5" s="1"/>
  <c r="B24" i="5"/>
  <c r="H24" i="5" s="1"/>
  <c r="B23" i="5"/>
  <c r="H23" i="5" s="1"/>
  <c r="B22" i="5"/>
  <c r="H22" i="5" s="1"/>
  <c r="B21" i="5"/>
  <c r="H21" i="5" s="1"/>
  <c r="B20" i="5"/>
  <c r="H20" i="5" s="1"/>
  <c r="B19" i="5"/>
  <c r="H19" i="5" s="1"/>
  <c r="B18" i="5"/>
  <c r="H18" i="5" s="1"/>
  <c r="B17" i="5"/>
  <c r="H17" i="5" s="1"/>
  <c r="B16" i="5"/>
  <c r="H16" i="5" s="1"/>
  <c r="B15" i="5"/>
  <c r="H15" i="5" s="1"/>
  <c r="B14" i="5"/>
  <c r="H14" i="5" s="1"/>
  <c r="B13" i="5"/>
  <c r="H13" i="5" s="1"/>
  <c r="B12" i="5"/>
  <c r="H12" i="5" s="1"/>
  <c r="B11" i="5"/>
  <c r="H11" i="5" s="1"/>
  <c r="B10" i="5"/>
  <c r="H10" i="5" s="1"/>
  <c r="B9" i="5"/>
  <c r="H9" i="5" s="1"/>
  <c r="B8" i="5"/>
  <c r="H8" i="5" s="1"/>
  <c r="B7" i="5"/>
  <c r="B200" i="4"/>
  <c r="H200" i="4" s="1"/>
  <c r="B199" i="4"/>
  <c r="H199" i="4" s="1"/>
  <c r="B198" i="4"/>
  <c r="H198" i="4" s="1"/>
  <c r="B197" i="4"/>
  <c r="H197" i="4" s="1"/>
  <c r="B196" i="4"/>
  <c r="H196" i="4" s="1"/>
  <c r="B195" i="4"/>
  <c r="H195" i="4" s="1"/>
  <c r="B194" i="4"/>
  <c r="H194" i="4" s="1"/>
  <c r="B193" i="4"/>
  <c r="H193" i="4" s="1"/>
  <c r="B192" i="4"/>
  <c r="H192" i="4" s="1"/>
  <c r="B191" i="4"/>
  <c r="H191" i="4" s="1"/>
  <c r="B190" i="4"/>
  <c r="H190" i="4" s="1"/>
  <c r="B189" i="4"/>
  <c r="H189" i="4" s="1"/>
  <c r="B188" i="4"/>
  <c r="H188" i="4" s="1"/>
  <c r="B187" i="4"/>
  <c r="H187" i="4" s="1"/>
  <c r="B186" i="4"/>
  <c r="H186" i="4" s="1"/>
  <c r="B185" i="4"/>
  <c r="H185" i="4" s="1"/>
  <c r="B184" i="4"/>
  <c r="H184" i="4" s="1"/>
  <c r="B183" i="4"/>
  <c r="H183" i="4" s="1"/>
  <c r="B182" i="4"/>
  <c r="H182" i="4" s="1"/>
  <c r="B181" i="4"/>
  <c r="H181" i="4" s="1"/>
  <c r="B180" i="4"/>
  <c r="H180" i="4" s="1"/>
  <c r="B179" i="4"/>
  <c r="H179" i="4" s="1"/>
  <c r="B178" i="4"/>
  <c r="H178" i="4" s="1"/>
  <c r="B177" i="4"/>
  <c r="H177" i="4" s="1"/>
  <c r="B176" i="4"/>
  <c r="H176" i="4" s="1"/>
  <c r="B175" i="4"/>
  <c r="H175" i="4" s="1"/>
  <c r="B174" i="4"/>
  <c r="H174" i="4" s="1"/>
  <c r="B173" i="4"/>
  <c r="H173" i="4" s="1"/>
  <c r="B172" i="4"/>
  <c r="H172" i="4" s="1"/>
  <c r="B171" i="4"/>
  <c r="H171" i="4" s="1"/>
  <c r="B170" i="4"/>
  <c r="H170" i="4" s="1"/>
  <c r="B169" i="4"/>
  <c r="H169" i="4" s="1"/>
  <c r="B168" i="4"/>
  <c r="H168" i="4" s="1"/>
  <c r="B167" i="4"/>
  <c r="H167" i="4" s="1"/>
  <c r="B166" i="4"/>
  <c r="H166" i="4" s="1"/>
  <c r="B165" i="4"/>
  <c r="H165" i="4" s="1"/>
  <c r="B164" i="4"/>
  <c r="H164" i="4" s="1"/>
  <c r="B163" i="4"/>
  <c r="H163" i="4" s="1"/>
  <c r="B162" i="4"/>
  <c r="H162" i="4" s="1"/>
  <c r="B161" i="4"/>
  <c r="H161" i="4" s="1"/>
  <c r="B160" i="4"/>
  <c r="H160" i="4" s="1"/>
  <c r="B159" i="4"/>
  <c r="H159" i="4" s="1"/>
  <c r="B158" i="4"/>
  <c r="H158" i="4" s="1"/>
  <c r="B157" i="4"/>
  <c r="H157" i="4" s="1"/>
  <c r="B156" i="4"/>
  <c r="H156" i="4" s="1"/>
  <c r="B155" i="4"/>
  <c r="H155" i="4" s="1"/>
  <c r="B154" i="4"/>
  <c r="H154" i="4" s="1"/>
  <c r="B153" i="4"/>
  <c r="H153" i="4" s="1"/>
  <c r="B152" i="4"/>
  <c r="H152" i="4" s="1"/>
  <c r="B151" i="4"/>
  <c r="H151" i="4" s="1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H138" i="4" s="1"/>
  <c r="B137" i="4"/>
  <c r="H137" i="4" s="1"/>
  <c r="B136" i="4"/>
  <c r="H136" i="4" s="1"/>
  <c r="B135" i="4"/>
  <c r="H135" i="4" s="1"/>
  <c r="B134" i="4"/>
  <c r="H134" i="4" s="1"/>
  <c r="B133" i="4"/>
  <c r="H133" i="4" s="1"/>
  <c r="B132" i="4"/>
  <c r="H132" i="4" s="1"/>
  <c r="B131" i="4"/>
  <c r="H131" i="4" s="1"/>
  <c r="B130" i="4"/>
  <c r="H130" i="4" s="1"/>
  <c r="B129" i="4"/>
  <c r="H129" i="4" s="1"/>
  <c r="B128" i="4"/>
  <c r="H128" i="4" s="1"/>
  <c r="B127" i="4"/>
  <c r="H127" i="4" s="1"/>
  <c r="B126" i="4"/>
  <c r="H126" i="4" s="1"/>
  <c r="B125" i="4"/>
  <c r="H125" i="4" s="1"/>
  <c r="B124" i="4"/>
  <c r="H124" i="4" s="1"/>
  <c r="B123" i="4"/>
  <c r="H123" i="4" s="1"/>
  <c r="B122" i="4"/>
  <c r="H122" i="4" s="1"/>
  <c r="B121" i="4"/>
  <c r="H121" i="4" s="1"/>
  <c r="B120" i="4"/>
  <c r="H120" i="4" s="1"/>
  <c r="B119" i="4"/>
  <c r="H119" i="4" s="1"/>
  <c r="B118" i="4"/>
  <c r="H118" i="4" s="1"/>
  <c r="B117" i="4"/>
  <c r="H117" i="4" s="1"/>
  <c r="B116" i="4"/>
  <c r="H116" i="4" s="1"/>
  <c r="B115" i="4"/>
  <c r="H115" i="4" s="1"/>
  <c r="B114" i="4"/>
  <c r="H114" i="4" s="1"/>
  <c r="B113" i="4"/>
  <c r="H113" i="4" s="1"/>
  <c r="B112" i="4"/>
  <c r="H112" i="4" s="1"/>
  <c r="B111" i="4"/>
  <c r="H111" i="4" s="1"/>
  <c r="B110" i="4"/>
  <c r="H110" i="4" s="1"/>
  <c r="B109" i="4"/>
  <c r="H109" i="4" s="1"/>
  <c r="B108" i="4"/>
  <c r="H108" i="4" s="1"/>
  <c r="B107" i="4"/>
  <c r="H107" i="4" s="1"/>
  <c r="B106" i="4"/>
  <c r="H106" i="4" s="1"/>
  <c r="B105" i="4"/>
  <c r="H105" i="4" s="1"/>
  <c r="B104" i="4"/>
  <c r="H104" i="4" s="1"/>
  <c r="B103" i="4"/>
  <c r="H103" i="4" s="1"/>
  <c r="B102" i="4"/>
  <c r="H102" i="4" s="1"/>
  <c r="B101" i="4"/>
  <c r="H101" i="4" s="1"/>
  <c r="B100" i="4"/>
  <c r="H100" i="4" s="1"/>
  <c r="B99" i="4"/>
  <c r="H99" i="4" s="1"/>
  <c r="B98" i="4"/>
  <c r="H98" i="4" s="1"/>
  <c r="B97" i="4"/>
  <c r="H97" i="4" s="1"/>
  <c r="B96" i="4"/>
  <c r="H96" i="4" s="1"/>
  <c r="B95" i="4"/>
  <c r="H95" i="4" s="1"/>
  <c r="B94" i="4"/>
  <c r="H94" i="4" s="1"/>
  <c r="B93" i="4"/>
  <c r="H93" i="4" s="1"/>
  <c r="B92" i="4"/>
  <c r="H92" i="4" s="1"/>
  <c r="B91" i="4"/>
  <c r="H91" i="4" s="1"/>
  <c r="B90" i="4"/>
  <c r="H90" i="4" s="1"/>
  <c r="B89" i="4"/>
  <c r="H89" i="4" s="1"/>
  <c r="B88" i="4"/>
  <c r="H88" i="4" s="1"/>
  <c r="B87" i="4"/>
  <c r="H87" i="4" s="1"/>
  <c r="B86" i="4"/>
  <c r="H86" i="4" s="1"/>
  <c r="B85" i="4"/>
  <c r="H85" i="4" s="1"/>
  <c r="B84" i="4"/>
  <c r="H84" i="4" s="1"/>
  <c r="B83" i="4"/>
  <c r="H83" i="4" s="1"/>
  <c r="B82" i="4"/>
  <c r="H82" i="4" s="1"/>
  <c r="B81" i="4"/>
  <c r="H81" i="4" s="1"/>
  <c r="B80" i="4"/>
  <c r="H80" i="4" s="1"/>
  <c r="B79" i="4"/>
  <c r="H79" i="4" s="1"/>
  <c r="B78" i="4"/>
  <c r="H78" i="4" s="1"/>
  <c r="B77" i="4"/>
  <c r="H77" i="4" s="1"/>
  <c r="B76" i="4"/>
  <c r="H76" i="4" s="1"/>
  <c r="B75" i="4"/>
  <c r="H75" i="4" s="1"/>
  <c r="B74" i="4"/>
  <c r="H74" i="4" s="1"/>
  <c r="B73" i="4"/>
  <c r="H73" i="4" s="1"/>
  <c r="B72" i="4"/>
  <c r="H72" i="4" s="1"/>
  <c r="B71" i="4"/>
  <c r="H71" i="4" s="1"/>
  <c r="B70" i="4"/>
  <c r="H70" i="4" s="1"/>
  <c r="B69" i="4"/>
  <c r="H69" i="4" s="1"/>
  <c r="B68" i="4"/>
  <c r="H68" i="4" s="1"/>
  <c r="B67" i="4"/>
  <c r="H67" i="4" s="1"/>
  <c r="B66" i="4"/>
  <c r="H66" i="4" s="1"/>
  <c r="B65" i="4"/>
  <c r="H65" i="4" s="1"/>
  <c r="B64" i="4"/>
  <c r="H64" i="4" s="1"/>
  <c r="B63" i="4"/>
  <c r="H63" i="4" s="1"/>
  <c r="B62" i="4"/>
  <c r="H62" i="4" s="1"/>
  <c r="B61" i="4"/>
  <c r="H61" i="4" s="1"/>
  <c r="B60" i="4"/>
  <c r="H60" i="4" s="1"/>
  <c r="B59" i="4"/>
  <c r="H59" i="4" s="1"/>
  <c r="B58" i="4"/>
  <c r="H58" i="4" s="1"/>
  <c r="B57" i="4"/>
  <c r="H57" i="4" s="1"/>
  <c r="B56" i="4"/>
  <c r="H56" i="4" s="1"/>
  <c r="B55" i="4"/>
  <c r="H55" i="4" s="1"/>
  <c r="B54" i="4"/>
  <c r="H54" i="4" s="1"/>
  <c r="B53" i="4"/>
  <c r="H53" i="4" s="1"/>
  <c r="B52" i="4"/>
  <c r="H52" i="4" s="1"/>
  <c r="B51" i="4"/>
  <c r="H51" i="4" s="1"/>
  <c r="B50" i="4"/>
  <c r="H50" i="4" s="1"/>
  <c r="B49" i="4"/>
  <c r="H49" i="4" s="1"/>
  <c r="B48" i="4"/>
  <c r="H48" i="4" s="1"/>
  <c r="B47" i="4"/>
  <c r="H47" i="4" s="1"/>
  <c r="B46" i="4"/>
  <c r="H46" i="4" s="1"/>
  <c r="B45" i="4"/>
  <c r="H45" i="4" s="1"/>
  <c r="B44" i="4"/>
  <c r="H44" i="4" s="1"/>
  <c r="B43" i="4"/>
  <c r="H43" i="4" s="1"/>
  <c r="B42" i="4"/>
  <c r="H42" i="4" s="1"/>
  <c r="B41" i="4"/>
  <c r="H41" i="4" s="1"/>
  <c r="B40" i="4"/>
  <c r="H40" i="4" s="1"/>
  <c r="B39" i="4"/>
  <c r="H39" i="4" s="1"/>
  <c r="B38" i="4"/>
  <c r="H38" i="4" s="1"/>
  <c r="B37" i="4"/>
  <c r="H37" i="4" s="1"/>
  <c r="B36" i="4"/>
  <c r="H36" i="4" s="1"/>
  <c r="B35" i="4"/>
  <c r="H35" i="4" s="1"/>
  <c r="B34" i="4"/>
  <c r="H34" i="4" s="1"/>
  <c r="B33" i="4"/>
  <c r="H33" i="4" s="1"/>
  <c r="B32" i="4"/>
  <c r="H32" i="4" s="1"/>
  <c r="B31" i="4"/>
  <c r="H31" i="4" s="1"/>
  <c r="B30" i="4"/>
  <c r="H30" i="4" s="1"/>
  <c r="B29" i="4"/>
  <c r="H29" i="4" s="1"/>
  <c r="B28" i="4"/>
  <c r="H28" i="4" s="1"/>
  <c r="B27" i="4"/>
  <c r="H27" i="4" s="1"/>
  <c r="B26" i="4"/>
  <c r="H26" i="4" s="1"/>
  <c r="B25" i="4"/>
  <c r="H25" i="4" s="1"/>
  <c r="B24" i="4"/>
  <c r="H24" i="4" s="1"/>
  <c r="B23" i="4"/>
  <c r="H23" i="4" s="1"/>
  <c r="B22" i="4"/>
  <c r="H22" i="4" s="1"/>
  <c r="B21" i="4"/>
  <c r="H21" i="4" s="1"/>
  <c r="B20" i="4"/>
  <c r="H20" i="4" s="1"/>
  <c r="B19" i="4"/>
  <c r="H19" i="4" s="1"/>
  <c r="B18" i="4"/>
  <c r="H18" i="4" s="1"/>
  <c r="B17" i="4"/>
  <c r="H17" i="4" s="1"/>
  <c r="B16" i="4"/>
  <c r="H16" i="4" s="1"/>
  <c r="B15" i="4"/>
  <c r="H15" i="4" s="1"/>
  <c r="B14" i="4"/>
  <c r="H14" i="4" s="1"/>
  <c r="B13" i="4"/>
  <c r="H13" i="4" s="1"/>
  <c r="B12" i="4"/>
  <c r="H12" i="4" s="1"/>
  <c r="B11" i="4"/>
  <c r="H11" i="4" s="1"/>
  <c r="B10" i="4"/>
  <c r="H10" i="4" s="1"/>
  <c r="B9" i="4"/>
  <c r="H9" i="4" s="1"/>
  <c r="B8" i="4"/>
  <c r="H8" i="4" s="1"/>
  <c r="B7" i="4"/>
  <c r="H7" i="4" l="1"/>
  <c r="C226" i="4"/>
  <c r="C226" i="5"/>
  <c r="H7" i="5"/>
  <c r="C224" i="5"/>
  <c r="C225" i="5"/>
  <c r="C225" i="4"/>
  <c r="C224" i="4"/>
  <c r="G224" i="4"/>
  <c r="C222" i="5"/>
  <c r="C223" i="5"/>
  <c r="G222" i="4"/>
  <c r="C223" i="4"/>
  <c r="C222" i="4"/>
  <c r="G223" i="4"/>
  <c r="C221" i="5"/>
  <c r="C221" i="4"/>
  <c r="G221" i="4"/>
  <c r="C220" i="4"/>
  <c r="C220" i="5"/>
  <c r="G220" i="4"/>
  <c r="C219" i="5"/>
  <c r="C219" i="4"/>
  <c r="G219" i="4"/>
  <c r="C218" i="4"/>
  <c r="C218" i="5"/>
  <c r="G218" i="4"/>
  <c r="C217" i="5"/>
  <c r="G217" i="4"/>
  <c r="C217" i="4"/>
  <c r="C216" i="4"/>
  <c r="C215" i="4"/>
  <c r="C216" i="5"/>
  <c r="C215" i="5"/>
  <c r="G215" i="4"/>
  <c r="G216" i="4"/>
  <c r="G213" i="4"/>
  <c r="C213" i="5"/>
  <c r="C214" i="5"/>
  <c r="C213" i="4"/>
  <c r="C214" i="4"/>
  <c r="G214" i="4"/>
  <c r="C212" i="5"/>
  <c r="C212" i="4"/>
  <c r="G212" i="4"/>
  <c r="F212" i="4"/>
  <c r="C211" i="5"/>
  <c r="C204" i="5"/>
  <c r="C208" i="5"/>
  <c r="C207" i="5"/>
  <c r="C206" i="5"/>
  <c r="C203" i="5"/>
  <c r="C210" i="5"/>
  <c r="F222" i="5" s="1"/>
  <c r="C209" i="5"/>
  <c r="C205" i="5"/>
  <c r="C211" i="4"/>
  <c r="G211" i="4"/>
  <c r="F211" i="4"/>
  <c r="G205" i="4"/>
  <c r="G209" i="4"/>
  <c r="F205" i="4"/>
  <c r="F209" i="4"/>
  <c r="G206" i="4"/>
  <c r="G210" i="4"/>
  <c r="F206" i="4"/>
  <c r="E203" i="4"/>
  <c r="E204" i="4"/>
  <c r="E205" i="4"/>
  <c r="E206" i="4"/>
  <c r="E207" i="4"/>
  <c r="E208" i="4"/>
  <c r="E209" i="4"/>
  <c r="E210" i="4"/>
  <c r="F210" i="4"/>
  <c r="C209" i="4"/>
  <c r="C203" i="4"/>
  <c r="C208" i="4"/>
  <c r="C204" i="4"/>
  <c r="C205" i="4"/>
  <c r="C207" i="4"/>
  <c r="C210" i="4"/>
  <c r="C206" i="4"/>
  <c r="G203" i="4"/>
  <c r="G207" i="4"/>
  <c r="F203" i="4"/>
  <c r="F207" i="4"/>
  <c r="G204" i="4"/>
  <c r="G208" i="4"/>
  <c r="F204" i="4"/>
  <c r="F208" i="4"/>
  <c r="D148" i="5"/>
  <c r="D143" i="4"/>
  <c r="E161" i="4"/>
  <c r="G42" i="4"/>
  <c r="C202" i="5"/>
  <c r="D115" i="4"/>
  <c r="G202" i="4"/>
  <c r="D97" i="5"/>
  <c r="G163" i="4"/>
  <c r="E109" i="4"/>
  <c r="C202" i="4"/>
  <c r="C135" i="4"/>
  <c r="F202" i="4"/>
  <c r="E202" i="4"/>
  <c r="C70" i="4"/>
  <c r="D62" i="5"/>
  <c r="D144" i="5"/>
  <c r="D145" i="5"/>
  <c r="D140" i="5"/>
  <c r="D101" i="5"/>
  <c r="D117" i="5"/>
  <c r="D39" i="5"/>
  <c r="D149" i="5"/>
  <c r="D181" i="5"/>
  <c r="D144" i="4"/>
  <c r="G55" i="4"/>
  <c r="G62" i="4"/>
  <c r="G69" i="4"/>
  <c r="G130" i="4"/>
  <c r="E148" i="4"/>
  <c r="G144" i="4"/>
  <c r="D148" i="4"/>
  <c r="G73" i="4"/>
  <c r="C139" i="4"/>
  <c r="E110" i="4"/>
  <c r="G118" i="4"/>
  <c r="D140" i="4"/>
  <c r="G186" i="4"/>
  <c r="D66" i="5"/>
  <c r="D34" i="4"/>
  <c r="F143" i="4"/>
  <c r="E201" i="4"/>
  <c r="D35" i="4"/>
  <c r="G50" i="4"/>
  <c r="D57" i="4"/>
  <c r="C65" i="4"/>
  <c r="C126" i="4"/>
  <c r="F126" i="4"/>
  <c r="D69" i="5"/>
  <c r="D12" i="4"/>
  <c r="C28" i="4"/>
  <c r="F36" i="4"/>
  <c r="G143" i="4"/>
  <c r="D120" i="4"/>
  <c r="D157" i="5"/>
  <c r="D173" i="5"/>
  <c r="D13" i="4"/>
  <c r="G81" i="4"/>
  <c r="F109" i="4"/>
  <c r="D112" i="5"/>
  <c r="D159" i="4"/>
  <c r="E165" i="4"/>
  <c r="D172" i="4"/>
  <c r="F192" i="4"/>
  <c r="D10" i="5"/>
  <c r="D50" i="5"/>
  <c r="D65" i="5"/>
  <c r="D102" i="4"/>
  <c r="D160" i="4"/>
  <c r="D117" i="4"/>
  <c r="D131" i="4"/>
  <c r="D132" i="5"/>
  <c r="D171" i="5"/>
  <c r="F117" i="4"/>
  <c r="D135" i="5"/>
  <c r="D197" i="5"/>
  <c r="F201" i="4"/>
  <c r="G87" i="4"/>
  <c r="D45" i="5"/>
  <c r="C143" i="4"/>
  <c r="C201" i="4"/>
  <c r="D40" i="4"/>
  <c r="F73" i="4"/>
  <c r="D107" i="4"/>
  <c r="D201" i="4"/>
  <c r="D14" i="5"/>
  <c r="D92" i="5"/>
  <c r="D100" i="5"/>
  <c r="F55" i="4"/>
  <c r="E108" i="4"/>
  <c r="C115" i="4"/>
  <c r="F134" i="4"/>
  <c r="F159" i="4"/>
  <c r="G155" i="4"/>
  <c r="G201" i="4"/>
  <c r="F185" i="4"/>
  <c r="D16" i="5"/>
  <c r="D108" i="5"/>
  <c r="D199" i="5"/>
  <c r="C201" i="5"/>
  <c r="F22" i="4"/>
  <c r="E57" i="4"/>
  <c r="G88" i="4"/>
  <c r="D116" i="4"/>
  <c r="F191" i="4"/>
  <c r="F199" i="4"/>
  <c r="D133" i="5"/>
  <c r="C22" i="4"/>
  <c r="C38" i="4"/>
  <c r="E45" i="4"/>
  <c r="C98" i="4"/>
  <c r="D132" i="4"/>
  <c r="G139" i="4"/>
  <c r="F153" i="4"/>
  <c r="F161" i="4"/>
  <c r="D46" i="5"/>
  <c r="D82" i="5"/>
  <c r="D168" i="5"/>
  <c r="D201" i="5"/>
  <c r="D21" i="5"/>
  <c r="C49" i="5"/>
  <c r="D96" i="5"/>
  <c r="D15" i="5"/>
  <c r="D61" i="5"/>
  <c r="D137" i="5"/>
  <c r="C72" i="5"/>
  <c r="D78" i="5"/>
  <c r="D200" i="5"/>
  <c r="D24" i="5"/>
  <c r="D68" i="5"/>
  <c r="C85" i="5"/>
  <c r="D129" i="5"/>
  <c r="D191" i="5"/>
  <c r="D192" i="5"/>
  <c r="C57" i="4"/>
  <c r="F78" i="4"/>
  <c r="C43" i="4"/>
  <c r="C56" i="4"/>
  <c r="C87" i="4"/>
  <c r="C110" i="4"/>
  <c r="E19" i="4"/>
  <c r="C49" i="4"/>
  <c r="G65" i="4"/>
  <c r="F110" i="4"/>
  <c r="E126" i="4"/>
  <c r="C131" i="4"/>
  <c r="G135" i="4"/>
  <c r="D147" i="4"/>
  <c r="G160" i="4"/>
  <c r="C45" i="4"/>
  <c r="C7" i="4"/>
  <c r="F31" i="4"/>
  <c r="D41" i="4"/>
  <c r="D50" i="4"/>
  <c r="E72" i="4"/>
  <c r="C84" i="4"/>
  <c r="G96" i="4"/>
  <c r="E127" i="4"/>
  <c r="D136" i="4"/>
  <c r="F158" i="4"/>
  <c r="F200" i="4"/>
  <c r="C20" i="4"/>
  <c r="C42" i="4"/>
  <c r="E50" i="4"/>
  <c r="E63" i="4"/>
  <c r="F68" i="4"/>
  <c r="D123" i="4"/>
  <c r="E136" i="4"/>
  <c r="C140" i="4"/>
  <c r="G167" i="4"/>
  <c r="F189" i="4"/>
  <c r="C30" i="4"/>
  <c r="D8" i="4"/>
  <c r="C26" i="4"/>
  <c r="C68" i="4"/>
  <c r="C116" i="4"/>
  <c r="E119" i="4"/>
  <c r="C124" i="4"/>
  <c r="G159" i="4"/>
  <c r="C168" i="4"/>
  <c r="C190" i="4"/>
  <c r="D9" i="4"/>
  <c r="D21" i="4"/>
  <c r="C33" i="4"/>
  <c r="C58" i="4"/>
  <c r="F64" i="4"/>
  <c r="F69" i="4"/>
  <c r="C81" i="4"/>
  <c r="C114" i="4"/>
  <c r="C120" i="4"/>
  <c r="C155" i="4"/>
  <c r="C176" i="4"/>
  <c r="C36" i="4"/>
  <c r="E66" i="4"/>
  <c r="C83" i="4"/>
  <c r="C95" i="4"/>
  <c r="C34" i="4"/>
  <c r="E44" i="4"/>
  <c r="C52" i="4"/>
  <c r="D82" i="4"/>
  <c r="D99" i="4"/>
  <c r="E120" i="4"/>
  <c r="C142" i="4"/>
  <c r="G151" i="4"/>
  <c r="D156" i="4"/>
  <c r="C186" i="4"/>
  <c r="E193" i="4"/>
  <c r="G136" i="4"/>
  <c r="E112" i="4"/>
  <c r="C199" i="5"/>
  <c r="C191" i="5"/>
  <c r="C83" i="5"/>
  <c r="C155" i="5"/>
  <c r="C148" i="5"/>
  <c r="C136" i="5"/>
  <c r="C167" i="5"/>
  <c r="C84" i="5"/>
  <c r="C81" i="5"/>
  <c r="C65" i="5"/>
  <c r="D51" i="4"/>
  <c r="G51" i="4"/>
  <c r="F82" i="4"/>
  <c r="D27" i="4"/>
  <c r="F27" i="4"/>
  <c r="C59" i="4"/>
  <c r="E59" i="4"/>
  <c r="D80" i="4"/>
  <c r="C92" i="4"/>
  <c r="E92" i="4"/>
  <c r="D8" i="5"/>
  <c r="E56" i="4"/>
  <c r="C54" i="4"/>
  <c r="G76" i="4"/>
  <c r="C76" i="4"/>
  <c r="F88" i="4"/>
  <c r="G83" i="4"/>
  <c r="C94" i="4"/>
  <c r="F106" i="4"/>
  <c r="C52" i="5"/>
  <c r="C180" i="5"/>
  <c r="F26" i="4"/>
  <c r="G37" i="4"/>
  <c r="E54" i="4"/>
  <c r="E94" i="4"/>
  <c r="G111" i="4"/>
  <c r="C111" i="4"/>
  <c r="G119" i="4"/>
  <c r="C127" i="4"/>
  <c r="D139" i="4"/>
  <c r="E149" i="4"/>
  <c r="C138" i="4"/>
  <c r="E145" i="4"/>
  <c r="F138" i="4"/>
  <c r="D155" i="4"/>
  <c r="F154" i="4"/>
  <c r="C171" i="4"/>
  <c r="F177" i="4"/>
  <c r="E192" i="4"/>
  <c r="C199" i="4"/>
  <c r="C10" i="5"/>
  <c r="D32" i="5"/>
  <c r="C32" i="5"/>
  <c r="C95" i="5"/>
  <c r="F24" i="4"/>
  <c r="C24" i="4"/>
  <c r="F50" i="4"/>
  <c r="G60" i="4"/>
  <c r="D84" i="4"/>
  <c r="C103" i="4"/>
  <c r="G103" i="4"/>
  <c r="E111" i="4"/>
  <c r="G127" i="4"/>
  <c r="F151" i="4"/>
  <c r="G154" i="4"/>
  <c r="G171" i="4"/>
  <c r="D192" i="4"/>
  <c r="D200" i="4"/>
  <c r="C25" i="5"/>
  <c r="D33" i="5"/>
  <c r="D54" i="5"/>
  <c r="D55" i="5"/>
  <c r="C62" i="5"/>
  <c r="C134" i="5"/>
  <c r="D160" i="5"/>
  <c r="C34" i="5"/>
  <c r="D79" i="4"/>
  <c r="G120" i="4"/>
  <c r="E96" i="4"/>
  <c r="C104" i="4"/>
  <c r="D104" i="4"/>
  <c r="D112" i="4"/>
  <c r="G128" i="4"/>
  <c r="E168" i="4"/>
  <c r="E172" i="4"/>
  <c r="G166" i="4"/>
  <c r="F166" i="4"/>
  <c r="F178" i="4"/>
  <c r="C7" i="5"/>
  <c r="C12" i="5"/>
  <c r="C16" i="5"/>
  <c r="C21" i="5"/>
  <c r="C27" i="5"/>
  <c r="D27" i="5"/>
  <c r="C35" i="5"/>
  <c r="C40" i="5"/>
  <c r="C76" i="5"/>
  <c r="D77" i="5"/>
  <c r="D93" i="5"/>
  <c r="C92" i="5"/>
  <c r="C135" i="5"/>
  <c r="G64" i="4"/>
  <c r="E40" i="4"/>
  <c r="C40" i="4"/>
  <c r="G72" i="4"/>
  <c r="C63" i="4"/>
  <c r="G98" i="4"/>
  <c r="D74" i="4"/>
  <c r="C79" i="4"/>
  <c r="D96" i="4"/>
  <c r="F112" i="4"/>
  <c r="C100" i="4"/>
  <c r="D100" i="4"/>
  <c r="E104" i="4"/>
  <c r="G112" i="4"/>
  <c r="D118" i="4"/>
  <c r="E118" i="4"/>
  <c r="E132" i="4"/>
  <c r="D152" i="4"/>
  <c r="C162" i="4"/>
  <c r="C195" i="4"/>
  <c r="D195" i="4"/>
  <c r="C8" i="5"/>
  <c r="D13" i="5"/>
  <c r="D29" i="5"/>
  <c r="C60" i="5"/>
  <c r="C64" i="5"/>
  <c r="C118" i="5"/>
  <c r="C193" i="5"/>
  <c r="C47" i="4"/>
  <c r="E95" i="4"/>
  <c r="E102" i="4"/>
  <c r="D76" i="4"/>
  <c r="C75" i="4"/>
  <c r="F87" i="4"/>
  <c r="E75" i="4"/>
  <c r="C29" i="5"/>
  <c r="C46" i="5"/>
  <c r="C56" i="5"/>
  <c r="C68" i="5"/>
  <c r="C73" i="5"/>
  <c r="D88" i="5"/>
  <c r="D89" i="5"/>
  <c r="D103" i="5"/>
  <c r="D119" i="5"/>
  <c r="D151" i="5"/>
  <c r="F30" i="4"/>
  <c r="E27" i="4"/>
  <c r="E41" i="4"/>
  <c r="F59" i="4"/>
  <c r="E80" i="4"/>
  <c r="E83" i="4"/>
  <c r="F119" i="4"/>
  <c r="C119" i="4"/>
  <c r="F122" i="4"/>
  <c r="G122" i="4"/>
  <c r="C130" i="4"/>
  <c r="F142" i="4"/>
  <c r="G158" i="4"/>
  <c r="D135" i="4"/>
  <c r="D163" i="4"/>
  <c r="G175" i="4"/>
  <c r="C14" i="5"/>
  <c r="C57" i="5"/>
  <c r="D58" i="5"/>
  <c r="C61" i="5"/>
  <c r="D73" i="5"/>
  <c r="C88" i="5"/>
  <c r="C103" i="5"/>
  <c r="D120" i="5"/>
  <c r="D121" i="5"/>
  <c r="D152" i="5"/>
  <c r="F61" i="4"/>
  <c r="C61" i="4"/>
  <c r="E61" i="4"/>
  <c r="F111" i="4"/>
  <c r="C99" i="4"/>
  <c r="D128" i="4"/>
  <c r="E128" i="4"/>
  <c r="C45" i="5"/>
  <c r="C66" i="4"/>
  <c r="F66" i="4"/>
  <c r="D66" i="4"/>
  <c r="D31" i="4"/>
  <c r="G31" i="4"/>
  <c r="E31" i="4"/>
  <c r="E70" i="4"/>
  <c r="G152" i="4"/>
  <c r="C41" i="5"/>
  <c r="D23" i="4"/>
  <c r="E23" i="4"/>
  <c r="F23" i="4"/>
  <c r="D73" i="4"/>
  <c r="C72" i="4"/>
  <c r="G106" i="4"/>
  <c r="C18" i="5"/>
  <c r="C104" i="5"/>
  <c r="D105" i="5"/>
  <c r="F32" i="4"/>
  <c r="G114" i="4"/>
  <c r="C44" i="5"/>
  <c r="D74" i="5"/>
  <c r="D85" i="5"/>
  <c r="D86" i="5"/>
  <c r="D139" i="5"/>
  <c r="D159" i="5"/>
  <c r="C113" i="5"/>
  <c r="D11" i="4"/>
  <c r="G41" i="4"/>
  <c r="D29" i="4"/>
  <c r="E34" i="4"/>
  <c r="F46" i="4"/>
  <c r="D67" i="4"/>
  <c r="D18" i="5"/>
  <c r="C23" i="5"/>
  <c r="D153" i="5"/>
  <c r="D161" i="5"/>
  <c r="D198" i="5"/>
  <c r="D176" i="5"/>
  <c r="D19" i="4"/>
  <c r="F53" i="4"/>
  <c r="G80" i="4"/>
  <c r="F57" i="4"/>
  <c r="E60" i="4"/>
  <c r="E87" i="4"/>
  <c r="F127" i="4"/>
  <c r="D199" i="4"/>
  <c r="D12" i="5"/>
  <c r="C19" i="5"/>
  <c r="C53" i="5"/>
  <c r="D123" i="5"/>
  <c r="D15" i="4"/>
  <c r="F19" i="4"/>
  <c r="D25" i="4"/>
  <c r="F40" i="4"/>
  <c r="G33" i="4"/>
  <c r="G77" i="4"/>
  <c r="F103" i="4"/>
  <c r="F167" i="4"/>
  <c r="C31" i="5"/>
  <c r="C97" i="5"/>
  <c r="D172" i="5"/>
  <c r="D180" i="5"/>
  <c r="C166" i="5"/>
  <c r="C185" i="5"/>
  <c r="G40" i="4"/>
  <c r="F20" i="4"/>
  <c r="G46" i="4"/>
  <c r="F128" i="4"/>
  <c r="C37" i="5"/>
  <c r="D48" i="5"/>
  <c r="D113" i="5"/>
  <c r="C153" i="5"/>
  <c r="D191" i="4"/>
  <c r="G191" i="4"/>
  <c r="G199" i="4"/>
  <c r="C179" i="5"/>
  <c r="F175" i="4"/>
  <c r="D168" i="4"/>
  <c r="C175" i="4"/>
  <c r="G184" i="4"/>
  <c r="D187" i="4"/>
  <c r="E189" i="4"/>
  <c r="E196" i="4"/>
  <c r="C190" i="5"/>
  <c r="D193" i="5"/>
  <c r="D185" i="5"/>
  <c r="D189" i="5"/>
  <c r="D180" i="4"/>
  <c r="D184" i="4"/>
  <c r="D196" i="4"/>
  <c r="G168" i="4"/>
  <c r="F184" i="4"/>
  <c r="G187" i="4"/>
  <c r="F195" i="4"/>
  <c r="D183" i="5"/>
  <c r="D169" i="5"/>
  <c r="D177" i="5"/>
  <c r="D184" i="5"/>
  <c r="C188" i="5"/>
  <c r="G212" i="5" s="1"/>
  <c r="F176" i="4"/>
  <c r="D167" i="4"/>
  <c r="D176" i="4"/>
  <c r="G179" i="4"/>
  <c r="G183" i="4"/>
  <c r="D188" i="4"/>
  <c r="G190" i="4"/>
  <c r="G192" i="4"/>
  <c r="G195" i="4"/>
  <c r="F198" i="4"/>
  <c r="C198" i="5"/>
  <c r="G222" i="5" s="1"/>
  <c r="G200" i="4"/>
  <c r="D164" i="4"/>
  <c r="F183" i="4"/>
  <c r="G176" i="4"/>
  <c r="E188" i="4"/>
  <c r="C9" i="5"/>
  <c r="D90" i="5"/>
  <c r="C90" i="5"/>
  <c r="D9" i="5"/>
  <c r="D31" i="5"/>
  <c r="C42" i="5"/>
  <c r="D51" i="5"/>
  <c r="C51" i="5"/>
  <c r="D53" i="5"/>
  <c r="C13" i="5"/>
  <c r="G37" i="5" s="1"/>
  <c r="D19" i="5"/>
  <c r="D38" i="5"/>
  <c r="D42" i="5"/>
  <c r="C69" i="5"/>
  <c r="D70" i="5"/>
  <c r="D94" i="5"/>
  <c r="C94" i="5"/>
  <c r="D26" i="5"/>
  <c r="C26" i="5"/>
  <c r="C33" i="5"/>
  <c r="D115" i="5"/>
  <c r="C115" i="5"/>
  <c r="D116" i="5"/>
  <c r="D127" i="5"/>
  <c r="C127" i="5"/>
  <c r="D128" i="5"/>
  <c r="C24" i="5"/>
  <c r="D22" i="5"/>
  <c r="C22" i="5"/>
  <c r="D34" i="5"/>
  <c r="D36" i="5"/>
  <c r="C36" i="5"/>
  <c r="C47" i="5"/>
  <c r="D47" i="5"/>
  <c r="D49" i="5"/>
  <c r="C58" i="5"/>
  <c r="D67" i="5"/>
  <c r="C67" i="5"/>
  <c r="C17" i="5"/>
  <c r="C11" i="5"/>
  <c r="D30" i="5"/>
  <c r="C30" i="5"/>
  <c r="C63" i="5"/>
  <c r="D63" i="5"/>
  <c r="D11" i="5"/>
  <c r="C28" i="5"/>
  <c r="C48" i="5"/>
  <c r="D75" i="5"/>
  <c r="D76" i="5"/>
  <c r="D80" i="5"/>
  <c r="D81" i="5"/>
  <c r="C20" i="5"/>
  <c r="D43" i="5"/>
  <c r="C43" i="5"/>
  <c r="D44" i="5"/>
  <c r="D163" i="5"/>
  <c r="D164" i="5"/>
  <c r="C163" i="5"/>
  <c r="D17" i="5"/>
  <c r="D20" i="5"/>
  <c r="C109" i="5"/>
  <c r="D109" i="5"/>
  <c r="D25" i="5"/>
  <c r="D52" i="5"/>
  <c r="D59" i="5"/>
  <c r="C59" i="5"/>
  <c r="D60" i="5"/>
  <c r="C15" i="5"/>
  <c r="D23" i="5"/>
  <c r="D28" i="5"/>
  <c r="D37" i="5"/>
  <c r="D64" i="5"/>
  <c r="C75" i="5"/>
  <c r="C80" i="5"/>
  <c r="D111" i="5"/>
  <c r="C111" i="5"/>
  <c r="C125" i="5"/>
  <c r="D125" i="5"/>
  <c r="D131" i="5"/>
  <c r="C131" i="5"/>
  <c r="C165" i="5"/>
  <c r="D165" i="5"/>
  <c r="C38" i="5"/>
  <c r="C54" i="5"/>
  <c r="D72" i="5"/>
  <c r="C77" i="5"/>
  <c r="C82" i="5"/>
  <c r="D87" i="5"/>
  <c r="C87" i="5"/>
  <c r="C93" i="5"/>
  <c r="C102" i="5"/>
  <c r="C108" i="5"/>
  <c r="C156" i="5"/>
  <c r="C159" i="5"/>
  <c r="D166" i="5"/>
  <c r="D167" i="5"/>
  <c r="D178" i="5"/>
  <c r="C178" i="5"/>
  <c r="C189" i="5"/>
  <c r="D98" i="5"/>
  <c r="C98" i="5"/>
  <c r="D114" i="5"/>
  <c r="C114" i="5"/>
  <c r="D126" i="5"/>
  <c r="C126" i="5"/>
  <c r="D195" i="5"/>
  <c r="C195" i="5"/>
  <c r="D196" i="5"/>
  <c r="C192" i="5"/>
  <c r="C184" i="5"/>
  <c r="C176" i="5"/>
  <c r="C168" i="5"/>
  <c r="C160" i="5"/>
  <c r="C152" i="5"/>
  <c r="C144" i="5"/>
  <c r="C197" i="5"/>
  <c r="C172" i="5"/>
  <c r="C151" i="5"/>
  <c r="C132" i="5"/>
  <c r="C112" i="5"/>
  <c r="C100" i="5"/>
  <c r="C200" i="5"/>
  <c r="C164" i="5"/>
  <c r="C143" i="5"/>
  <c r="C183" i="5"/>
  <c r="C171" i="5"/>
  <c r="C150" i="5"/>
  <c r="C140" i="5"/>
  <c r="C128" i="5"/>
  <c r="C116" i="5"/>
  <c r="C96" i="5"/>
  <c r="C86" i="5"/>
  <c r="C78" i="5"/>
  <c r="C70" i="5"/>
  <c r="C196" i="5"/>
  <c r="C175" i="5"/>
  <c r="D40" i="5"/>
  <c r="D41" i="5"/>
  <c r="C50" i="5"/>
  <c r="D56" i="5"/>
  <c r="D57" i="5"/>
  <c r="C66" i="5"/>
  <c r="C74" i="5"/>
  <c r="D79" i="5"/>
  <c r="C79" i="5"/>
  <c r="D84" i="5"/>
  <c r="C89" i="5"/>
  <c r="C91" i="5"/>
  <c r="C105" i="5"/>
  <c r="C119" i="5"/>
  <c r="C123" i="5"/>
  <c r="C129" i="5"/>
  <c r="D146" i="5"/>
  <c r="C146" i="5"/>
  <c r="C157" i="5"/>
  <c r="D174" i="5"/>
  <c r="C174" i="5"/>
  <c r="D175" i="5"/>
  <c r="D186" i="5"/>
  <c r="C186" i="5"/>
  <c r="D187" i="5"/>
  <c r="D188" i="5"/>
  <c r="D71" i="5"/>
  <c r="C71" i="5"/>
  <c r="D83" i="5"/>
  <c r="D99" i="5"/>
  <c r="C99" i="5"/>
  <c r="C107" i="5"/>
  <c r="D142" i="5"/>
  <c r="D143" i="5"/>
  <c r="C142" i="5"/>
  <c r="D154" i="5"/>
  <c r="C154" i="5"/>
  <c r="C187" i="5"/>
  <c r="D35" i="5"/>
  <c r="C39" i="5"/>
  <c r="C55" i="5"/>
  <c r="D95" i="5"/>
  <c r="D110" i="5"/>
  <c r="C110" i="5"/>
  <c r="C120" i="5"/>
  <c r="C124" i="5"/>
  <c r="D130" i="5"/>
  <c r="C130" i="5"/>
  <c r="C147" i="5"/>
  <c r="D155" i="5"/>
  <c r="D156" i="5"/>
  <c r="C158" i="5"/>
  <c r="C161" i="5"/>
  <c r="D104" i="5"/>
  <c r="C121" i="5"/>
  <c r="D124" i="5"/>
  <c r="D136" i="5"/>
  <c r="D150" i="5"/>
  <c r="C169" i="5"/>
  <c r="C173" i="5"/>
  <c r="D194" i="5"/>
  <c r="C194" i="5"/>
  <c r="D91" i="5"/>
  <c r="C101" i="5"/>
  <c r="D106" i="5"/>
  <c r="C106" i="5"/>
  <c r="D118" i="5"/>
  <c r="C133" i="5"/>
  <c r="D138" i="5"/>
  <c r="C138" i="5"/>
  <c r="D158" i="5"/>
  <c r="C177" i="5"/>
  <c r="D179" i="5"/>
  <c r="C181" i="5"/>
  <c r="C137" i="5"/>
  <c r="C141" i="5"/>
  <c r="D162" i="5"/>
  <c r="C162" i="5"/>
  <c r="D182" i="5"/>
  <c r="D102" i="5"/>
  <c r="D107" i="5"/>
  <c r="C117" i="5"/>
  <c r="D122" i="5"/>
  <c r="C122" i="5"/>
  <c r="D134" i="5"/>
  <c r="C139" i="5"/>
  <c r="D141" i="5"/>
  <c r="C145" i="5"/>
  <c r="D147" i="5"/>
  <c r="C149" i="5"/>
  <c r="D170" i="5"/>
  <c r="C170" i="5"/>
  <c r="C182" i="5"/>
  <c r="D190" i="5"/>
  <c r="D36" i="4"/>
  <c r="D157" i="4"/>
  <c r="C157" i="4"/>
  <c r="G157" i="4"/>
  <c r="E157" i="4"/>
  <c r="F37" i="4"/>
  <c r="G44" i="4"/>
  <c r="D47" i="4"/>
  <c r="D52" i="4"/>
  <c r="G53" i="4"/>
  <c r="D56" i="4"/>
  <c r="D61" i="4"/>
  <c r="F62" i="4"/>
  <c r="G67" i="4"/>
  <c r="D70" i="4"/>
  <c r="G110" i="4"/>
  <c r="D86" i="4"/>
  <c r="F98" i="4"/>
  <c r="G86" i="4"/>
  <c r="G101" i="4"/>
  <c r="E101" i="4"/>
  <c r="C101" i="4"/>
  <c r="D105" i="4"/>
  <c r="C105" i="4"/>
  <c r="G105" i="4"/>
  <c r="E105" i="4"/>
  <c r="G125" i="4"/>
  <c r="D125" i="4"/>
  <c r="C125" i="4"/>
  <c r="D126" i="4"/>
  <c r="D133" i="4"/>
  <c r="C133" i="4"/>
  <c r="G133" i="4"/>
  <c r="F145" i="4"/>
  <c r="F133" i="4"/>
  <c r="D173" i="4"/>
  <c r="C173" i="4"/>
  <c r="G173" i="4"/>
  <c r="F173" i="4"/>
  <c r="E173" i="4"/>
  <c r="F21" i="4"/>
  <c r="F29" i="4"/>
  <c r="C32" i="4"/>
  <c r="F34" i="4"/>
  <c r="E38" i="4"/>
  <c r="E47" i="4"/>
  <c r="C51" i="4"/>
  <c r="C55" i="4"/>
  <c r="C60" i="4"/>
  <c r="D65" i="4"/>
  <c r="G71" i="4"/>
  <c r="F74" i="4"/>
  <c r="D78" i="4"/>
  <c r="G78" i="4"/>
  <c r="F79" i="4"/>
  <c r="G82" i="4"/>
  <c r="C86" i="4"/>
  <c r="G93" i="4"/>
  <c r="D93" i="4"/>
  <c r="C93" i="4"/>
  <c r="D94" i="4"/>
  <c r="D97" i="4"/>
  <c r="C97" i="4"/>
  <c r="F97" i="4"/>
  <c r="E97" i="4"/>
  <c r="D101" i="4"/>
  <c r="F105" i="4"/>
  <c r="C108" i="4"/>
  <c r="E125" i="4"/>
  <c r="D129" i="4"/>
  <c r="C129" i="4"/>
  <c r="F129" i="4"/>
  <c r="E129" i="4"/>
  <c r="E133" i="4"/>
  <c r="E146" i="4"/>
  <c r="D146" i="4"/>
  <c r="F146" i="4"/>
  <c r="C146" i="4"/>
  <c r="E174" i="4"/>
  <c r="E183" i="4"/>
  <c r="E175" i="4"/>
  <c r="D174" i="4"/>
  <c r="D175" i="4"/>
  <c r="F186" i="4"/>
  <c r="E184" i="4"/>
  <c r="E180" i="4"/>
  <c r="F174" i="4"/>
  <c r="E182" i="4"/>
  <c r="D182" i="4"/>
  <c r="D183" i="4"/>
  <c r="G182" i="4"/>
  <c r="C182" i="4"/>
  <c r="E194" i="4"/>
  <c r="D194" i="4"/>
  <c r="G194" i="4"/>
  <c r="C194" i="4"/>
  <c r="C188" i="4"/>
  <c r="C180" i="4"/>
  <c r="C172" i="4"/>
  <c r="C164" i="4"/>
  <c r="C200" i="4"/>
  <c r="C192" i="4"/>
  <c r="C191" i="4"/>
  <c r="C187" i="4"/>
  <c r="C183" i="4"/>
  <c r="C179" i="4"/>
  <c r="C167" i="4"/>
  <c r="C163" i="4"/>
  <c r="C151" i="4"/>
  <c r="C147" i="4"/>
  <c r="C9" i="4"/>
  <c r="C11" i="4"/>
  <c r="C13" i="4"/>
  <c r="C15" i="4"/>
  <c r="C17" i="4"/>
  <c r="C19" i="4"/>
  <c r="E20" i="4"/>
  <c r="C23" i="4"/>
  <c r="E24" i="4"/>
  <c r="C27" i="4"/>
  <c r="E28" i="4"/>
  <c r="C31" i="4"/>
  <c r="D32" i="4"/>
  <c r="E33" i="4"/>
  <c r="G34" i="4"/>
  <c r="E36" i="4"/>
  <c r="D37" i="4"/>
  <c r="F38" i="4"/>
  <c r="C41" i="4"/>
  <c r="E42" i="4"/>
  <c r="G43" i="4"/>
  <c r="F45" i="4"/>
  <c r="D46" i="4"/>
  <c r="F47" i="4"/>
  <c r="C50" i="4"/>
  <c r="E51" i="4"/>
  <c r="G52" i="4"/>
  <c r="G54" i="4"/>
  <c r="D55" i="4"/>
  <c r="F56" i="4"/>
  <c r="G57" i="4"/>
  <c r="D59" i="4"/>
  <c r="D60" i="4"/>
  <c r="G61" i="4"/>
  <c r="D64" i="4"/>
  <c r="E65" i="4"/>
  <c r="G66" i="4"/>
  <c r="E68" i="4"/>
  <c r="D69" i="4"/>
  <c r="F70" i="4"/>
  <c r="C73" i="4"/>
  <c r="G74" i="4"/>
  <c r="C78" i="4"/>
  <c r="G79" i="4"/>
  <c r="E81" i="4"/>
  <c r="F95" i="4"/>
  <c r="F83" i="4"/>
  <c r="D83" i="4"/>
  <c r="F84" i="4"/>
  <c r="E86" i="4"/>
  <c r="C88" i="4"/>
  <c r="F90" i="4"/>
  <c r="E93" i="4"/>
  <c r="G95" i="4"/>
  <c r="G97" i="4"/>
  <c r="F101" i="4"/>
  <c r="F125" i="4"/>
  <c r="G129" i="4"/>
  <c r="E134" i="4"/>
  <c r="D134" i="4"/>
  <c r="G134" i="4"/>
  <c r="C134" i="4"/>
  <c r="D141" i="4"/>
  <c r="C141" i="4"/>
  <c r="G141" i="4"/>
  <c r="E141" i="4"/>
  <c r="G146" i="4"/>
  <c r="E156" i="4"/>
  <c r="C159" i="4"/>
  <c r="C166" i="4"/>
  <c r="C174" i="4"/>
  <c r="E176" i="4"/>
  <c r="F182" i="4"/>
  <c r="F194" i="4"/>
  <c r="D54" i="4"/>
  <c r="D63" i="4"/>
  <c r="D68" i="4"/>
  <c r="D72" i="4"/>
  <c r="F91" i="4"/>
  <c r="E91" i="4"/>
  <c r="G91" i="4"/>
  <c r="C91" i="4"/>
  <c r="G169" i="4"/>
  <c r="D169" i="4"/>
  <c r="C169" i="4"/>
  <c r="F169" i="4"/>
  <c r="E169" i="4"/>
  <c r="D58" i="4"/>
  <c r="E21" i="4"/>
  <c r="E25" i="4"/>
  <c r="E29" i="4"/>
  <c r="G35" i="4"/>
  <c r="D38" i="4"/>
  <c r="F39" i="4"/>
  <c r="E43" i="4"/>
  <c r="F48" i="4"/>
  <c r="G49" i="4"/>
  <c r="G58" i="4"/>
  <c r="F71" i="4"/>
  <c r="G108" i="4"/>
  <c r="F108" i="4"/>
  <c r="F120" i="4"/>
  <c r="D108" i="4"/>
  <c r="F181" i="4"/>
  <c r="D20" i="4"/>
  <c r="D24" i="4"/>
  <c r="F25" i="4"/>
  <c r="D28" i="4"/>
  <c r="D33" i="4"/>
  <c r="C37" i="4"/>
  <c r="G39" i="4"/>
  <c r="D42" i="4"/>
  <c r="F43" i="4"/>
  <c r="C46" i="4"/>
  <c r="G48" i="4"/>
  <c r="F52" i="4"/>
  <c r="C64" i="4"/>
  <c r="C69" i="4"/>
  <c r="D17" i="4"/>
  <c r="F28" i="4"/>
  <c r="E32" i="4"/>
  <c r="F33" i="4"/>
  <c r="E37" i="4"/>
  <c r="F42" i="4"/>
  <c r="E46" i="4"/>
  <c r="G47" i="4"/>
  <c r="F51" i="4"/>
  <c r="E55" i="4"/>
  <c r="G56" i="4"/>
  <c r="F60" i="4"/>
  <c r="E64" i="4"/>
  <c r="F65" i="4"/>
  <c r="E69" i="4"/>
  <c r="E73" i="4"/>
  <c r="F75" i="4"/>
  <c r="D75" i="4"/>
  <c r="F76" i="4"/>
  <c r="E78" i="4"/>
  <c r="G104" i="4"/>
  <c r="F80" i="4"/>
  <c r="D81" i="4"/>
  <c r="C80" i="4"/>
  <c r="F81" i="4"/>
  <c r="F86" i="4"/>
  <c r="E88" i="4"/>
  <c r="G90" i="4"/>
  <c r="F93" i="4"/>
  <c r="G109" i="4"/>
  <c r="D109" i="4"/>
  <c r="C109" i="4"/>
  <c r="D110" i="4"/>
  <c r="G117" i="4"/>
  <c r="E117" i="4"/>
  <c r="C117" i="4"/>
  <c r="F135" i="4"/>
  <c r="F123" i="4"/>
  <c r="E123" i="4"/>
  <c r="G123" i="4"/>
  <c r="G147" i="4"/>
  <c r="C123" i="4"/>
  <c r="F141" i="4"/>
  <c r="C144" i="4"/>
  <c r="G174" i="4"/>
  <c r="E185" i="4"/>
  <c r="D45" i="4"/>
  <c r="C85" i="4"/>
  <c r="F85" i="4"/>
  <c r="E150" i="4"/>
  <c r="E159" i="4"/>
  <c r="E151" i="4"/>
  <c r="D150" i="4"/>
  <c r="F150" i="4"/>
  <c r="C150" i="4"/>
  <c r="D197" i="4"/>
  <c r="C197" i="4"/>
  <c r="G197" i="4"/>
  <c r="F197" i="4"/>
  <c r="G32" i="4"/>
  <c r="F41" i="4"/>
  <c r="C44" i="4"/>
  <c r="C48" i="4"/>
  <c r="D49" i="4"/>
  <c r="C53" i="4"/>
  <c r="C71" i="4"/>
  <c r="C77" i="4"/>
  <c r="F77" i="4"/>
  <c r="D85" i="4"/>
  <c r="D121" i="4"/>
  <c r="C121" i="4"/>
  <c r="G121" i="4"/>
  <c r="E121" i="4"/>
  <c r="E170" i="4"/>
  <c r="D170" i="4"/>
  <c r="D171" i="4"/>
  <c r="F170" i="4"/>
  <c r="C8" i="4"/>
  <c r="C10" i="4"/>
  <c r="C12" i="4"/>
  <c r="C14" i="4"/>
  <c r="C16" i="4"/>
  <c r="C18" i="4"/>
  <c r="C21" i="4"/>
  <c r="E22" i="4"/>
  <c r="C25" i="4"/>
  <c r="E26" i="4"/>
  <c r="C29" i="4"/>
  <c r="E30" i="4"/>
  <c r="E35" i="4"/>
  <c r="G36" i="4"/>
  <c r="G38" i="4"/>
  <c r="D39" i="4"/>
  <c r="D43" i="4"/>
  <c r="D44" i="4"/>
  <c r="G45" i="4"/>
  <c r="D48" i="4"/>
  <c r="E49" i="4"/>
  <c r="E52" i="4"/>
  <c r="D53" i="4"/>
  <c r="F54" i="4"/>
  <c r="E58" i="4"/>
  <c r="G59" i="4"/>
  <c r="D62" i="4"/>
  <c r="F63" i="4"/>
  <c r="E67" i="4"/>
  <c r="G68" i="4"/>
  <c r="G94" i="4"/>
  <c r="G70" i="4"/>
  <c r="D71" i="4"/>
  <c r="F72" i="4"/>
  <c r="G75" i="4"/>
  <c r="D77" i="4"/>
  <c r="E79" i="4"/>
  <c r="F94" i="4"/>
  <c r="E82" i="4"/>
  <c r="C82" i="4"/>
  <c r="E85" i="4"/>
  <c r="D89" i="4"/>
  <c r="C89" i="4"/>
  <c r="G89" i="4"/>
  <c r="E89" i="4"/>
  <c r="G92" i="4"/>
  <c r="F92" i="4"/>
  <c r="F104" i="4"/>
  <c r="D92" i="4"/>
  <c r="G102" i="4"/>
  <c r="F107" i="4"/>
  <c r="E107" i="4"/>
  <c r="G107" i="4"/>
  <c r="C107" i="4"/>
  <c r="G131" i="4"/>
  <c r="F121" i="4"/>
  <c r="G137" i="4"/>
  <c r="D137" i="4"/>
  <c r="C137" i="4"/>
  <c r="F149" i="4"/>
  <c r="E137" i="4"/>
  <c r="C170" i="4"/>
  <c r="E198" i="4"/>
  <c r="E199" i="4"/>
  <c r="D198" i="4"/>
  <c r="E200" i="4"/>
  <c r="G198" i="4"/>
  <c r="C198" i="4"/>
  <c r="D113" i="4"/>
  <c r="C113" i="4"/>
  <c r="F113" i="4"/>
  <c r="E113" i="4"/>
  <c r="E152" i="4"/>
  <c r="D22" i="4"/>
  <c r="D26" i="4"/>
  <c r="D30" i="4"/>
  <c r="C35" i="4"/>
  <c r="C39" i="4"/>
  <c r="C62" i="4"/>
  <c r="C67" i="4"/>
  <c r="D91" i="4"/>
  <c r="G113" i="4"/>
  <c r="F136" i="4"/>
  <c r="G124" i="4"/>
  <c r="F124" i="4"/>
  <c r="D124" i="4"/>
  <c r="G150" i="4"/>
  <c r="F157" i="4"/>
  <c r="E197" i="4"/>
  <c r="D10" i="4"/>
  <c r="D14" i="4"/>
  <c r="D16" i="4"/>
  <c r="D18" i="4"/>
  <c r="F35" i="4"/>
  <c r="E39" i="4"/>
  <c r="F44" i="4"/>
  <c r="E48" i="4"/>
  <c r="F49" i="4"/>
  <c r="E53" i="4"/>
  <c r="F58" i="4"/>
  <c r="E62" i="4"/>
  <c r="G63" i="4"/>
  <c r="F67" i="4"/>
  <c r="E71" i="4"/>
  <c r="E74" i="4"/>
  <c r="C74" i="4"/>
  <c r="E77" i="4"/>
  <c r="G84" i="4"/>
  <c r="G85" i="4"/>
  <c r="D87" i="4"/>
  <c r="F89" i="4"/>
  <c r="E124" i="4"/>
  <c r="F137" i="4"/>
  <c r="D151" i="4"/>
  <c r="G153" i="4"/>
  <c r="D153" i="4"/>
  <c r="C153" i="4"/>
  <c r="F165" i="4"/>
  <c r="E153" i="4"/>
  <c r="E160" i="4"/>
  <c r="F162" i="4"/>
  <c r="G170" i="4"/>
  <c r="E178" i="4"/>
  <c r="D178" i="4"/>
  <c r="D179" i="4"/>
  <c r="F190" i="4"/>
  <c r="G178" i="4"/>
  <c r="C178" i="4"/>
  <c r="G193" i="4"/>
  <c r="D193" i="4"/>
  <c r="C193" i="4"/>
  <c r="F193" i="4"/>
  <c r="E76" i="4"/>
  <c r="E84" i="4"/>
  <c r="D95" i="4"/>
  <c r="F96" i="4"/>
  <c r="E98" i="4"/>
  <c r="D98" i="4"/>
  <c r="G99" i="4"/>
  <c r="F102" i="4"/>
  <c r="D111" i="4"/>
  <c r="E114" i="4"/>
  <c r="D114" i="4"/>
  <c r="G115" i="4"/>
  <c r="F118" i="4"/>
  <c r="E135" i="4"/>
  <c r="D127" i="4"/>
  <c r="E130" i="4"/>
  <c r="D130" i="4"/>
  <c r="G145" i="4"/>
  <c r="D145" i="4"/>
  <c r="C145" i="4"/>
  <c r="D149" i="4"/>
  <c r="C149" i="4"/>
  <c r="G149" i="4"/>
  <c r="G162" i="4"/>
  <c r="E164" i="4"/>
  <c r="C184" i="4"/>
  <c r="E191" i="4"/>
  <c r="E186" i="4"/>
  <c r="D186" i="4"/>
  <c r="E190" i="4"/>
  <c r="D190" i="4"/>
  <c r="D88" i="4"/>
  <c r="G100" i="4"/>
  <c r="F100" i="4"/>
  <c r="F114" i="4"/>
  <c r="G116" i="4"/>
  <c r="F116" i="4"/>
  <c r="F130" i="4"/>
  <c r="C132" i="4"/>
  <c r="C136" i="4"/>
  <c r="E143" i="4"/>
  <c r="E138" i="4"/>
  <c r="D138" i="4"/>
  <c r="E142" i="4"/>
  <c r="D142" i="4"/>
  <c r="G161" i="4"/>
  <c r="D161" i="4"/>
  <c r="C161" i="4"/>
  <c r="D165" i="4"/>
  <c r="C165" i="4"/>
  <c r="G165" i="4"/>
  <c r="C196" i="4"/>
  <c r="E90" i="4"/>
  <c r="D90" i="4"/>
  <c r="D103" i="4"/>
  <c r="E106" i="4"/>
  <c r="D106" i="4"/>
  <c r="D119" i="4"/>
  <c r="E122" i="4"/>
  <c r="D122" i="4"/>
  <c r="C148" i="4"/>
  <c r="C152" i="4"/>
  <c r="E154" i="4"/>
  <c r="D154" i="4"/>
  <c r="E158" i="4"/>
  <c r="D158" i="4"/>
  <c r="G177" i="4"/>
  <c r="D177" i="4"/>
  <c r="C177" i="4"/>
  <c r="D181" i="4"/>
  <c r="C181" i="4"/>
  <c r="G181" i="4"/>
  <c r="C90" i="4"/>
  <c r="C96" i="4"/>
  <c r="F99" i="4"/>
  <c r="E99" i="4"/>
  <c r="E100" i="4"/>
  <c r="C102" i="4"/>
  <c r="E103" i="4"/>
  <c r="C106" i="4"/>
  <c r="C112" i="4"/>
  <c r="F115" i="4"/>
  <c r="E115" i="4"/>
  <c r="E116" i="4"/>
  <c r="C118" i="4"/>
  <c r="C122" i="4"/>
  <c r="G126" i="4"/>
  <c r="C128" i="4"/>
  <c r="G138" i="4"/>
  <c r="E140" i="4"/>
  <c r="G142" i="4"/>
  <c r="E144" i="4"/>
  <c r="C154" i="4"/>
  <c r="C156" i="4"/>
  <c r="C158" i="4"/>
  <c r="C160" i="4"/>
  <c r="E167" i="4"/>
  <c r="E162" i="4"/>
  <c r="D162" i="4"/>
  <c r="E166" i="4"/>
  <c r="D166" i="4"/>
  <c r="E177" i="4"/>
  <c r="E181" i="4"/>
  <c r="G185" i="4"/>
  <c r="D185" i="4"/>
  <c r="C185" i="4"/>
  <c r="D189" i="4"/>
  <c r="C189" i="4"/>
  <c r="G189" i="4"/>
  <c r="E131" i="4"/>
  <c r="F132" i="4"/>
  <c r="E139" i="4"/>
  <c r="F140" i="4"/>
  <c r="E147" i="4"/>
  <c r="F148" i="4"/>
  <c r="E155" i="4"/>
  <c r="F156" i="4"/>
  <c r="E163" i="4"/>
  <c r="F164" i="4"/>
  <c r="E171" i="4"/>
  <c r="F172" i="4"/>
  <c r="E179" i="4"/>
  <c r="F180" i="4"/>
  <c r="E187" i="4"/>
  <c r="F188" i="4"/>
  <c r="E195" i="4"/>
  <c r="F196" i="4"/>
  <c r="F131" i="4"/>
  <c r="G132" i="4"/>
  <c r="F139" i="4"/>
  <c r="G140" i="4"/>
  <c r="F147" i="4"/>
  <c r="G148" i="4"/>
  <c r="F155" i="4"/>
  <c r="G156" i="4"/>
  <c r="F163" i="4"/>
  <c r="G164" i="4"/>
  <c r="F171" i="4"/>
  <c r="G172" i="4"/>
  <c r="F179" i="4"/>
  <c r="G180" i="4"/>
  <c r="F187" i="4"/>
  <c r="G188" i="4"/>
  <c r="G196" i="4"/>
  <c r="F144" i="4"/>
  <c r="F152" i="4"/>
  <c r="F160" i="4"/>
  <c r="F168" i="4"/>
  <c r="E226" i="5" l="1"/>
  <c r="G226" i="5"/>
  <c r="F226" i="5"/>
  <c r="E225" i="5"/>
  <c r="G225" i="5"/>
  <c r="F225" i="5"/>
  <c r="E224" i="5"/>
  <c r="G224" i="5"/>
  <c r="F224" i="5"/>
  <c r="E222" i="5"/>
  <c r="E223" i="5"/>
  <c r="G223" i="5"/>
  <c r="F223" i="5"/>
  <c r="E220" i="5"/>
  <c r="F220" i="5"/>
  <c r="H7" i="6"/>
  <c r="G220" i="5"/>
  <c r="E221" i="5"/>
  <c r="G221" i="5"/>
  <c r="F221" i="5"/>
  <c r="H8" i="6"/>
  <c r="G218" i="5"/>
  <c r="E218" i="5"/>
  <c r="F219" i="5"/>
  <c r="E219" i="5"/>
  <c r="G219" i="5"/>
  <c r="F218" i="5"/>
  <c r="E217" i="5"/>
  <c r="G217" i="5"/>
  <c r="F217" i="5"/>
  <c r="G215" i="5"/>
  <c r="E215" i="5"/>
  <c r="F215" i="5"/>
  <c r="E216" i="5"/>
  <c r="G216" i="5"/>
  <c r="F216" i="5"/>
  <c r="F212" i="5"/>
  <c r="E212" i="5"/>
  <c r="F213" i="5"/>
  <c r="E213" i="5"/>
  <c r="G213" i="5"/>
  <c r="F214" i="5"/>
  <c r="G214" i="5"/>
  <c r="E214" i="5"/>
  <c r="E210" i="5"/>
  <c r="G210" i="5"/>
  <c r="F210" i="5"/>
  <c r="E208" i="5"/>
  <c r="G208" i="5"/>
  <c r="F208" i="5"/>
  <c r="G203" i="5"/>
  <c r="F203" i="5"/>
  <c r="E203" i="5"/>
  <c r="E204" i="5"/>
  <c r="F204" i="5"/>
  <c r="G204" i="5"/>
  <c r="F205" i="5"/>
  <c r="E205" i="5"/>
  <c r="G205" i="5"/>
  <c r="E206" i="5"/>
  <c r="G206" i="5"/>
  <c r="F206" i="5"/>
  <c r="E211" i="5"/>
  <c r="G211" i="5"/>
  <c r="F211" i="5"/>
  <c r="F209" i="5"/>
  <c r="E209" i="5"/>
  <c r="G209" i="5"/>
  <c r="E207" i="5"/>
  <c r="G207" i="5"/>
  <c r="F207" i="5"/>
  <c r="E76" i="5"/>
  <c r="G199" i="5"/>
  <c r="F193" i="5"/>
  <c r="G167" i="5"/>
  <c r="G190" i="5"/>
  <c r="F34" i="5"/>
  <c r="F179" i="5"/>
  <c r="E185" i="5"/>
  <c r="F53" i="5"/>
  <c r="F73" i="5"/>
  <c r="G56" i="5"/>
  <c r="G73" i="5"/>
  <c r="G191" i="5"/>
  <c r="G35" i="5"/>
  <c r="E202" i="5"/>
  <c r="F202" i="5"/>
  <c r="G202" i="5"/>
  <c r="F103" i="5"/>
  <c r="E88" i="5"/>
  <c r="G118" i="5"/>
  <c r="G40" i="5"/>
  <c r="E49" i="5"/>
  <c r="E19" i="5"/>
  <c r="F104" i="5"/>
  <c r="F41" i="5"/>
  <c r="F32" i="5"/>
  <c r="G72" i="5"/>
  <c r="F85" i="5"/>
  <c r="G46" i="5"/>
  <c r="F148" i="5"/>
  <c r="F57" i="5"/>
  <c r="G92" i="5"/>
  <c r="E166" i="5"/>
  <c r="F136" i="5"/>
  <c r="G148" i="5"/>
  <c r="F21" i="5"/>
  <c r="F190" i="5"/>
  <c r="G97" i="5"/>
  <c r="G153" i="5"/>
  <c r="G136" i="5"/>
  <c r="E136" i="5"/>
  <c r="F84" i="5"/>
  <c r="G49" i="5"/>
  <c r="E45" i="5"/>
  <c r="F113" i="5"/>
  <c r="F64" i="5"/>
  <c r="F201" i="5"/>
  <c r="G201" i="5"/>
  <c r="E201" i="5"/>
  <c r="F27" i="5"/>
  <c r="E92" i="5"/>
  <c r="G60" i="5"/>
  <c r="F46" i="5"/>
  <c r="E148" i="5"/>
  <c r="G84" i="5"/>
  <c r="E84" i="5"/>
  <c r="G64" i="5"/>
  <c r="E85" i="5"/>
  <c r="F23" i="5"/>
  <c r="G81" i="5"/>
  <c r="E81" i="5"/>
  <c r="G180" i="5"/>
  <c r="F72" i="5"/>
  <c r="E53" i="5"/>
  <c r="E27" i="5"/>
  <c r="F95" i="5"/>
  <c r="G52" i="5"/>
  <c r="E72" i="5"/>
  <c r="E134" i="5"/>
  <c r="G44" i="5"/>
  <c r="G32" i="5"/>
  <c r="F180" i="5"/>
  <c r="F29" i="5"/>
  <c r="F19" i="5"/>
  <c r="F49" i="5"/>
  <c r="F167" i="5"/>
  <c r="E31" i="5"/>
  <c r="E64" i="5"/>
  <c r="F44" i="5"/>
  <c r="G68" i="5"/>
  <c r="E44" i="5"/>
  <c r="F35" i="5"/>
  <c r="E68" i="5"/>
  <c r="G95" i="5"/>
  <c r="G53" i="5"/>
  <c r="F31" i="5"/>
  <c r="F88" i="5"/>
  <c r="G88" i="5"/>
  <c r="G61" i="5"/>
  <c r="F37" i="5"/>
  <c r="E97" i="5"/>
  <c r="G179" i="5"/>
  <c r="F68" i="5"/>
  <c r="E21" i="5"/>
  <c r="E25" i="5"/>
  <c r="E52" i="5"/>
  <c r="F52" i="5"/>
  <c r="F61" i="5"/>
  <c r="F56" i="5"/>
  <c r="F76" i="5"/>
  <c r="F97" i="5"/>
  <c r="G85" i="5"/>
  <c r="G76" i="5"/>
  <c r="G34" i="5"/>
  <c r="G65" i="5"/>
  <c r="F65" i="5"/>
  <c r="E23" i="5"/>
  <c r="E73" i="5"/>
  <c r="E29" i="5"/>
  <c r="E113" i="5"/>
  <c r="E103" i="5"/>
  <c r="G45" i="5"/>
  <c r="G31" i="5"/>
  <c r="E199" i="5"/>
  <c r="F81" i="5"/>
  <c r="F25" i="5"/>
  <c r="E95" i="5"/>
  <c r="E135" i="5"/>
  <c r="E198" i="5"/>
  <c r="F191" i="5"/>
  <c r="G182" i="5"/>
  <c r="F182" i="5"/>
  <c r="E182" i="5"/>
  <c r="G177" i="5"/>
  <c r="F177" i="5"/>
  <c r="E177" i="5"/>
  <c r="F50" i="5"/>
  <c r="G50" i="5"/>
  <c r="E50" i="5"/>
  <c r="F62" i="5"/>
  <c r="G197" i="5"/>
  <c r="F197" i="5"/>
  <c r="E197" i="5"/>
  <c r="G198" i="5"/>
  <c r="E56" i="5"/>
  <c r="E24" i="5"/>
  <c r="F24" i="5"/>
  <c r="F139" i="5"/>
  <c r="E139" i="5"/>
  <c r="G139" i="5"/>
  <c r="G173" i="5"/>
  <c r="F173" i="5"/>
  <c r="E173" i="5"/>
  <c r="E154" i="5"/>
  <c r="G154" i="5"/>
  <c r="F154" i="5"/>
  <c r="G129" i="5"/>
  <c r="F129" i="5"/>
  <c r="E129" i="5"/>
  <c r="F96" i="5"/>
  <c r="G96" i="5"/>
  <c r="E96" i="5"/>
  <c r="G164" i="5"/>
  <c r="F164" i="5"/>
  <c r="E164" i="5"/>
  <c r="F144" i="5"/>
  <c r="G144" i="5"/>
  <c r="E144" i="5"/>
  <c r="F195" i="5"/>
  <c r="E195" i="5"/>
  <c r="G195" i="5"/>
  <c r="G189" i="5"/>
  <c r="F189" i="5"/>
  <c r="E189" i="5"/>
  <c r="E159" i="5"/>
  <c r="G159" i="5"/>
  <c r="F159" i="5"/>
  <c r="G38" i="5"/>
  <c r="E38" i="5"/>
  <c r="F38" i="5"/>
  <c r="G165" i="5"/>
  <c r="F165" i="5"/>
  <c r="E165" i="5"/>
  <c r="E111" i="5"/>
  <c r="G111" i="5"/>
  <c r="F111" i="5"/>
  <c r="E80" i="5"/>
  <c r="F80" i="5"/>
  <c r="G80" i="5"/>
  <c r="G59" i="5"/>
  <c r="E59" i="5"/>
  <c r="F59" i="5"/>
  <c r="G109" i="5"/>
  <c r="F109" i="5"/>
  <c r="E109" i="5"/>
  <c r="F163" i="5"/>
  <c r="E163" i="5"/>
  <c r="G163" i="5"/>
  <c r="G43" i="5"/>
  <c r="E43" i="5"/>
  <c r="F43" i="5"/>
  <c r="F30" i="5"/>
  <c r="E30" i="5"/>
  <c r="G33" i="5"/>
  <c r="E33" i="5"/>
  <c r="F33" i="5"/>
  <c r="G94" i="5"/>
  <c r="E94" i="5"/>
  <c r="F94" i="5"/>
  <c r="E60" i="5"/>
  <c r="E90" i="5"/>
  <c r="G90" i="5"/>
  <c r="F90" i="5"/>
  <c r="E170" i="5"/>
  <c r="G170" i="5"/>
  <c r="F170" i="5"/>
  <c r="G141" i="5"/>
  <c r="F141" i="5"/>
  <c r="E141" i="5"/>
  <c r="G106" i="5"/>
  <c r="F106" i="5"/>
  <c r="E106" i="5"/>
  <c r="F130" i="5"/>
  <c r="E130" i="5"/>
  <c r="G130" i="5"/>
  <c r="G62" i="5"/>
  <c r="E123" i="5"/>
  <c r="G123" i="5"/>
  <c r="F123" i="5"/>
  <c r="F116" i="5"/>
  <c r="E116" i="5"/>
  <c r="G116" i="5"/>
  <c r="G200" i="5"/>
  <c r="F200" i="5"/>
  <c r="E200" i="5"/>
  <c r="F152" i="5"/>
  <c r="G152" i="5"/>
  <c r="E152" i="5"/>
  <c r="G156" i="5"/>
  <c r="F156" i="5"/>
  <c r="E156" i="5"/>
  <c r="F87" i="5"/>
  <c r="E87" i="5"/>
  <c r="G87" i="5"/>
  <c r="G75" i="5"/>
  <c r="E75" i="5"/>
  <c r="F75" i="5"/>
  <c r="F45" i="5"/>
  <c r="F42" i="5"/>
  <c r="E42" i="5"/>
  <c r="G42" i="5"/>
  <c r="E46" i="5"/>
  <c r="G117" i="5"/>
  <c r="F117" i="5"/>
  <c r="E117" i="5"/>
  <c r="G121" i="5"/>
  <c r="F121" i="5"/>
  <c r="E121" i="5"/>
  <c r="G174" i="5"/>
  <c r="E174" i="5"/>
  <c r="F174" i="5"/>
  <c r="G86" i="5"/>
  <c r="E86" i="5"/>
  <c r="F86" i="5"/>
  <c r="E28" i="5"/>
  <c r="F28" i="5"/>
  <c r="G67" i="5"/>
  <c r="F67" i="5"/>
  <c r="E67" i="5"/>
  <c r="E127" i="5"/>
  <c r="G127" i="5"/>
  <c r="F127" i="5"/>
  <c r="G169" i="5"/>
  <c r="F169" i="5"/>
  <c r="E169" i="5"/>
  <c r="G161" i="5"/>
  <c r="E161" i="5"/>
  <c r="F161" i="5"/>
  <c r="F39" i="5"/>
  <c r="E39" i="5"/>
  <c r="G39" i="5"/>
  <c r="G142" i="5"/>
  <c r="E142" i="5"/>
  <c r="F142" i="5"/>
  <c r="G157" i="5"/>
  <c r="F157" i="5"/>
  <c r="E157" i="5"/>
  <c r="E119" i="5"/>
  <c r="G119" i="5"/>
  <c r="F119" i="5"/>
  <c r="G74" i="5"/>
  <c r="F74" i="5"/>
  <c r="E74" i="5"/>
  <c r="F128" i="5"/>
  <c r="G128" i="5"/>
  <c r="E128" i="5"/>
  <c r="F100" i="5"/>
  <c r="E100" i="5"/>
  <c r="G100" i="5"/>
  <c r="F160" i="5"/>
  <c r="G160" i="5"/>
  <c r="E160" i="5"/>
  <c r="F114" i="5"/>
  <c r="E114" i="5"/>
  <c r="G114" i="5"/>
  <c r="F185" i="5"/>
  <c r="E131" i="5"/>
  <c r="F131" i="5"/>
  <c r="G131" i="5"/>
  <c r="F58" i="5"/>
  <c r="E58" i="5"/>
  <c r="G58" i="5"/>
  <c r="G149" i="5"/>
  <c r="F149" i="5"/>
  <c r="E149" i="5"/>
  <c r="G137" i="5"/>
  <c r="F137" i="5"/>
  <c r="E137" i="5"/>
  <c r="E138" i="5"/>
  <c r="F138" i="5"/>
  <c r="G138" i="5"/>
  <c r="G101" i="5"/>
  <c r="F101" i="5"/>
  <c r="E101" i="5"/>
  <c r="G158" i="5"/>
  <c r="F158" i="5"/>
  <c r="E158" i="5"/>
  <c r="F124" i="5"/>
  <c r="E124" i="5"/>
  <c r="G124" i="5"/>
  <c r="G83" i="5"/>
  <c r="E193" i="5"/>
  <c r="G105" i="5"/>
  <c r="F105" i="5"/>
  <c r="E105" i="5"/>
  <c r="F66" i="5"/>
  <c r="G66" i="5"/>
  <c r="E66" i="5"/>
  <c r="E175" i="5"/>
  <c r="F175" i="5"/>
  <c r="G175" i="5"/>
  <c r="G140" i="5"/>
  <c r="F140" i="5"/>
  <c r="E140" i="5"/>
  <c r="F112" i="5"/>
  <c r="G112" i="5"/>
  <c r="E112" i="5"/>
  <c r="F168" i="5"/>
  <c r="E168" i="5"/>
  <c r="G168" i="5"/>
  <c r="F166" i="5"/>
  <c r="E178" i="5"/>
  <c r="G178" i="5"/>
  <c r="F178" i="5"/>
  <c r="E118" i="5"/>
  <c r="G185" i="5"/>
  <c r="E104" i="5"/>
  <c r="G41" i="5"/>
  <c r="E188" i="5"/>
  <c r="F92" i="5"/>
  <c r="E20" i="5"/>
  <c r="F20" i="5"/>
  <c r="G63" i="5"/>
  <c r="F63" i="5"/>
  <c r="E63" i="5"/>
  <c r="E36" i="5"/>
  <c r="G36" i="5"/>
  <c r="F36" i="5"/>
  <c r="F22" i="5"/>
  <c r="E22" i="5"/>
  <c r="G57" i="5"/>
  <c r="F26" i="5"/>
  <c r="E26" i="5"/>
  <c r="E162" i="5"/>
  <c r="F162" i="5"/>
  <c r="G162" i="5"/>
  <c r="F147" i="5"/>
  <c r="E147" i="5"/>
  <c r="G147" i="5"/>
  <c r="E99" i="5"/>
  <c r="F99" i="5"/>
  <c r="G99" i="5"/>
  <c r="E143" i="5"/>
  <c r="G143" i="5"/>
  <c r="F143" i="5"/>
  <c r="G54" i="5"/>
  <c r="E54" i="5"/>
  <c r="F54" i="5"/>
  <c r="E62" i="5"/>
  <c r="G193" i="5"/>
  <c r="G150" i="5"/>
  <c r="F150" i="5"/>
  <c r="E150" i="5"/>
  <c r="F176" i="5"/>
  <c r="G176" i="5"/>
  <c r="E176" i="5"/>
  <c r="F108" i="5"/>
  <c r="E108" i="5"/>
  <c r="G108" i="5"/>
  <c r="E180" i="5"/>
  <c r="F188" i="5"/>
  <c r="E179" i="5"/>
  <c r="E57" i="5"/>
  <c r="E40" i="5"/>
  <c r="G122" i="5"/>
  <c r="F122" i="5"/>
  <c r="E122" i="5"/>
  <c r="G133" i="5"/>
  <c r="F133" i="5"/>
  <c r="E133" i="5"/>
  <c r="G110" i="5"/>
  <c r="E110" i="5"/>
  <c r="F110" i="5"/>
  <c r="E65" i="5"/>
  <c r="E190" i="5"/>
  <c r="E146" i="5"/>
  <c r="G146" i="5"/>
  <c r="F146" i="5"/>
  <c r="F89" i="5"/>
  <c r="E89" i="5"/>
  <c r="G89" i="5"/>
  <c r="G70" i="5"/>
  <c r="F70" i="5"/>
  <c r="E70" i="5"/>
  <c r="F171" i="5"/>
  <c r="E171" i="5"/>
  <c r="G171" i="5"/>
  <c r="E151" i="5"/>
  <c r="G151" i="5"/>
  <c r="F151" i="5"/>
  <c r="F184" i="5"/>
  <c r="G184" i="5"/>
  <c r="E184" i="5"/>
  <c r="E153" i="5"/>
  <c r="F98" i="5"/>
  <c r="E98" i="5"/>
  <c r="G98" i="5"/>
  <c r="G104" i="5"/>
  <c r="F77" i="5"/>
  <c r="E77" i="5"/>
  <c r="G77" i="5"/>
  <c r="G125" i="5"/>
  <c r="F125" i="5"/>
  <c r="E125" i="5"/>
  <c r="E37" i="5"/>
  <c r="G188" i="5"/>
  <c r="E155" i="5"/>
  <c r="E167" i="5"/>
  <c r="F135" i="5"/>
  <c r="F40" i="5"/>
  <c r="F134" i="5"/>
  <c r="G113" i="5"/>
  <c r="G79" i="5"/>
  <c r="F79" i="5"/>
  <c r="E79" i="5"/>
  <c r="G93" i="5"/>
  <c r="F93" i="5"/>
  <c r="E93" i="5"/>
  <c r="G181" i="5"/>
  <c r="F181" i="5"/>
  <c r="E181" i="5"/>
  <c r="F120" i="5"/>
  <c r="E120" i="5"/>
  <c r="G120" i="5"/>
  <c r="E186" i="5"/>
  <c r="G186" i="5"/>
  <c r="F186" i="5"/>
  <c r="E91" i="5"/>
  <c r="G91" i="5"/>
  <c r="F91" i="5"/>
  <c r="G196" i="5"/>
  <c r="F196" i="5"/>
  <c r="E196" i="5"/>
  <c r="F132" i="5"/>
  <c r="E132" i="5"/>
  <c r="G132" i="5"/>
  <c r="G166" i="5"/>
  <c r="G82" i="5"/>
  <c r="F82" i="5"/>
  <c r="E82" i="5"/>
  <c r="E41" i="5"/>
  <c r="E61" i="5"/>
  <c r="G155" i="5"/>
  <c r="E115" i="5"/>
  <c r="F115" i="5"/>
  <c r="G115" i="5"/>
  <c r="G51" i="5"/>
  <c r="F51" i="5"/>
  <c r="E51" i="5"/>
  <c r="G145" i="5"/>
  <c r="F145" i="5"/>
  <c r="E145" i="5"/>
  <c r="E194" i="5"/>
  <c r="F194" i="5"/>
  <c r="G194" i="5"/>
  <c r="F55" i="5"/>
  <c r="G55" i="5"/>
  <c r="E55" i="5"/>
  <c r="F187" i="5"/>
  <c r="E187" i="5"/>
  <c r="G187" i="5"/>
  <c r="E107" i="5"/>
  <c r="G107" i="5"/>
  <c r="F107" i="5"/>
  <c r="E71" i="5"/>
  <c r="F83" i="5"/>
  <c r="F71" i="5"/>
  <c r="G71" i="5"/>
  <c r="G78" i="5"/>
  <c r="F78" i="5"/>
  <c r="E83" i="5"/>
  <c r="E78" i="5"/>
  <c r="E183" i="5"/>
  <c r="G183" i="5"/>
  <c r="F183" i="5"/>
  <c r="G172" i="5"/>
  <c r="F172" i="5"/>
  <c r="E172" i="5"/>
  <c r="F192" i="5"/>
  <c r="G192" i="5"/>
  <c r="E192" i="5"/>
  <c r="F153" i="5"/>
  <c r="G126" i="5"/>
  <c r="E126" i="5"/>
  <c r="F126" i="5"/>
  <c r="G102" i="5"/>
  <c r="F102" i="5"/>
  <c r="E102" i="5"/>
  <c r="F118" i="5"/>
  <c r="G103" i="5"/>
  <c r="E191" i="5"/>
  <c r="F198" i="5"/>
  <c r="G48" i="5"/>
  <c r="E48" i="5"/>
  <c r="F48" i="5"/>
  <c r="F60" i="5"/>
  <c r="E34" i="5"/>
  <c r="F155" i="5"/>
  <c r="G47" i="5"/>
  <c r="F47" i="5"/>
  <c r="E47" i="5"/>
  <c r="E35" i="5"/>
  <c r="G135" i="5"/>
  <c r="F69" i="5"/>
  <c r="G69" i="5"/>
  <c r="E69" i="5"/>
  <c r="F199" i="5"/>
  <c r="G134" i="5"/>
  <c r="E32" i="5"/>
  <c r="A55" i="3" l="1"/>
  <c r="A54" i="3"/>
  <c r="A53" i="3"/>
  <c r="A52" i="3"/>
  <c r="A51" i="3"/>
  <c r="A50" i="3"/>
  <c r="A49" i="3"/>
  <c r="B55" i="2"/>
  <c r="H55" i="2" s="1"/>
  <c r="B54" i="2"/>
  <c r="H54" i="2" s="1"/>
  <c r="B53" i="2"/>
  <c r="H53" i="2" s="1"/>
  <c r="B52" i="2"/>
  <c r="H52" i="2" s="1"/>
  <c r="B51" i="2"/>
  <c r="H51" i="2" s="1"/>
  <c r="B50" i="2"/>
  <c r="H50" i="2" s="1"/>
  <c r="B49" i="2"/>
  <c r="H49" i="2" s="1"/>
  <c r="B48" i="2"/>
  <c r="H48" i="2" s="1"/>
  <c r="B47" i="2"/>
  <c r="H47" i="2" s="1"/>
  <c r="B46" i="2"/>
  <c r="H46" i="2" s="1"/>
  <c r="B45" i="2"/>
  <c r="H45" i="2" s="1"/>
  <c r="B267" i="1"/>
  <c r="A55" i="2" s="1"/>
  <c r="F67" i="2" l="1"/>
  <c r="F65" i="2"/>
  <c r="C64" i="3"/>
  <c r="C58" i="3"/>
  <c r="C65" i="3"/>
  <c r="C60" i="3"/>
  <c r="C66" i="3"/>
  <c r="C59" i="3"/>
  <c r="C63" i="3"/>
  <c r="C61" i="3"/>
  <c r="C62" i="3"/>
  <c r="F66" i="3"/>
  <c r="F66" i="2"/>
  <c r="F64" i="2"/>
  <c r="F62" i="2"/>
  <c r="F63" i="2"/>
  <c r="F59" i="2"/>
  <c r="F60" i="2"/>
  <c r="F61" i="2"/>
  <c r="F58" i="2"/>
  <c r="E57" i="3"/>
  <c r="C57" i="3"/>
  <c r="G57" i="3"/>
  <c r="F57" i="3"/>
  <c r="F57" i="2"/>
  <c r="D56" i="2"/>
  <c r="C56" i="3"/>
  <c r="G56" i="3"/>
  <c r="E56" i="3"/>
  <c r="F56" i="3"/>
  <c r="G46" i="3"/>
  <c r="D56" i="3"/>
  <c r="G40" i="3"/>
  <c r="D13" i="3"/>
  <c r="F27" i="3"/>
  <c r="D12" i="3"/>
  <c r="F35" i="3"/>
  <c r="D45" i="3"/>
  <c r="F50" i="3"/>
  <c r="C46" i="3"/>
  <c r="D37" i="3"/>
  <c r="G42" i="3"/>
  <c r="F32" i="3"/>
  <c r="G38" i="3"/>
  <c r="F43" i="3"/>
  <c r="G51" i="3"/>
  <c r="G34" i="3"/>
  <c r="F39" i="3"/>
  <c r="G49" i="3"/>
  <c r="G55" i="3"/>
  <c r="C26" i="3"/>
  <c r="E26" i="3"/>
  <c r="C44" i="3"/>
  <c r="G54" i="3"/>
  <c r="D19" i="3"/>
  <c r="E23" i="3"/>
  <c r="E31" i="3"/>
  <c r="E38" i="3"/>
  <c r="F40" i="3"/>
  <c r="D44" i="3"/>
  <c r="F47" i="3"/>
  <c r="G52" i="3"/>
  <c r="E54" i="3"/>
  <c r="E22" i="3"/>
  <c r="C30" i="3"/>
  <c r="E14" i="3"/>
  <c r="D11" i="3"/>
  <c r="D14" i="3"/>
  <c r="E19" i="3"/>
  <c r="F23" i="3"/>
  <c r="E27" i="3"/>
  <c r="F31" i="3"/>
  <c r="F38" i="3"/>
  <c r="G44" i="3"/>
  <c r="G47" i="3"/>
  <c r="G50" i="3"/>
  <c r="F52" i="3"/>
  <c r="C36" i="3"/>
  <c r="G48" i="3"/>
  <c r="C16" i="3"/>
  <c r="F24" i="3"/>
  <c r="D36" i="3"/>
  <c r="G53" i="3"/>
  <c r="E55" i="3"/>
  <c r="G32" i="3"/>
  <c r="E45" i="3"/>
  <c r="D16" i="3"/>
  <c r="C22" i="3"/>
  <c r="E40" i="3"/>
  <c r="G36" i="3"/>
  <c r="G39" i="3"/>
  <c r="E46" i="3"/>
  <c r="F55" i="3"/>
  <c r="E11" i="3"/>
  <c r="C8" i="3"/>
  <c r="C10" i="3"/>
  <c r="E16" i="3"/>
  <c r="C18" i="3"/>
  <c r="C21" i="3"/>
  <c r="C25" i="3"/>
  <c r="C29" i="3"/>
  <c r="E30" i="3"/>
  <c r="C34" i="3"/>
  <c r="D35" i="3"/>
  <c r="E36" i="3"/>
  <c r="F37" i="3"/>
  <c r="C42" i="3"/>
  <c r="D43" i="3"/>
  <c r="E44" i="3"/>
  <c r="F45" i="3"/>
  <c r="D10" i="3"/>
  <c r="E13" i="3"/>
  <c r="C15" i="3"/>
  <c r="D18" i="3"/>
  <c r="D21" i="3"/>
  <c r="F22" i="3"/>
  <c r="D25" i="3"/>
  <c r="F26" i="3"/>
  <c r="D29" i="3"/>
  <c r="F30" i="3"/>
  <c r="C33" i="3"/>
  <c r="D34" i="3"/>
  <c r="E35" i="3"/>
  <c r="F36" i="3"/>
  <c r="G37" i="3"/>
  <c r="C41" i="3"/>
  <c r="D42" i="3"/>
  <c r="E43" i="3"/>
  <c r="F44" i="3"/>
  <c r="G45" i="3"/>
  <c r="C13" i="3"/>
  <c r="D26" i="3"/>
  <c r="E10" i="3"/>
  <c r="C12" i="3"/>
  <c r="D15" i="3"/>
  <c r="E18" i="3"/>
  <c r="C20" i="3"/>
  <c r="E21" i="3"/>
  <c r="C24" i="3"/>
  <c r="E25" i="3"/>
  <c r="C28" i="3"/>
  <c r="E29" i="3"/>
  <c r="C32" i="3"/>
  <c r="D33" i="3"/>
  <c r="E34" i="3"/>
  <c r="C40" i="3"/>
  <c r="D41" i="3"/>
  <c r="E42" i="3"/>
  <c r="C48" i="3"/>
  <c r="C49" i="3"/>
  <c r="C50" i="3"/>
  <c r="C51" i="3"/>
  <c r="C52" i="3"/>
  <c r="C53" i="3"/>
  <c r="C54" i="3"/>
  <c r="C55" i="3"/>
  <c r="C9" i="3"/>
  <c r="E15" i="3"/>
  <c r="C17" i="3"/>
  <c r="D20" i="3"/>
  <c r="F21" i="3"/>
  <c r="D24" i="3"/>
  <c r="F25" i="3"/>
  <c r="D28" i="3"/>
  <c r="F29" i="3"/>
  <c r="D32" i="3"/>
  <c r="E33" i="3"/>
  <c r="F34" i="3"/>
  <c r="G35" i="3"/>
  <c r="C39" i="3"/>
  <c r="D40" i="3"/>
  <c r="E41" i="3"/>
  <c r="F42" i="3"/>
  <c r="G43" i="3"/>
  <c r="C47" i="3"/>
  <c r="D48" i="3"/>
  <c r="D49" i="3"/>
  <c r="D50" i="3"/>
  <c r="D51" i="3"/>
  <c r="D52" i="3"/>
  <c r="D53" i="3"/>
  <c r="D54" i="3"/>
  <c r="D55" i="3"/>
  <c r="E9" i="3"/>
  <c r="C11" i="3"/>
  <c r="E17" i="3"/>
  <c r="C19" i="3"/>
  <c r="F20" i="3"/>
  <c r="D23" i="3"/>
  <c r="D27" i="3"/>
  <c r="F28" i="3"/>
  <c r="D31" i="3"/>
  <c r="G33" i="3"/>
  <c r="C37" i="3"/>
  <c r="D38" i="3"/>
  <c r="E39" i="3"/>
  <c r="G41" i="3"/>
  <c r="C45" i="3"/>
  <c r="D46" i="3"/>
  <c r="E47" i="3"/>
  <c r="F48" i="3"/>
  <c r="F49" i="3"/>
  <c r="F51" i="3"/>
  <c r="F53" i="3"/>
  <c r="F54" i="3"/>
  <c r="D22" i="3"/>
  <c r="D30" i="3"/>
  <c r="C35" i="3"/>
  <c r="E37" i="3"/>
  <c r="C43" i="3"/>
  <c r="F46" i="3"/>
  <c r="D9" i="3"/>
  <c r="E12" i="3"/>
  <c r="C14" i="3"/>
  <c r="D17" i="3"/>
  <c r="E20" i="3"/>
  <c r="C23" i="3"/>
  <c r="E24" i="3"/>
  <c r="C27" i="3"/>
  <c r="E28" i="3"/>
  <c r="C31" i="3"/>
  <c r="E32" i="3"/>
  <c r="F33" i="3"/>
  <c r="C38" i="3"/>
  <c r="D39" i="3"/>
  <c r="F41" i="3"/>
  <c r="D47" i="3"/>
  <c r="E48" i="3"/>
  <c r="E49" i="3"/>
  <c r="E50" i="3"/>
  <c r="E51" i="3"/>
  <c r="E52" i="3"/>
  <c r="E53" i="3"/>
  <c r="D55" i="2"/>
  <c r="D54" i="2"/>
  <c r="D53" i="2"/>
  <c r="D52" i="2"/>
  <c r="D51" i="2"/>
  <c r="D50" i="2"/>
  <c r="D49" i="2"/>
  <c r="D48" i="2"/>
  <c r="D47" i="2"/>
  <c r="D46" i="2"/>
  <c r="H6" i="6" l="1"/>
  <c r="B266" i="1"/>
  <c r="A54" i="2" s="1"/>
  <c r="I3" i="6" l="1"/>
  <c r="B265" i="1"/>
  <c r="A53" i="2" s="1"/>
  <c r="B264" i="1" l="1"/>
  <c r="A52" i="2" s="1"/>
  <c r="H3" i="6" l="1"/>
  <c r="I2" i="6" s="1"/>
  <c r="B263" i="1"/>
  <c r="A51" i="2" s="1"/>
  <c r="B262" i="1"/>
  <c r="A50" i="2" s="1"/>
  <c r="B261" i="1"/>
  <c r="A49" i="2" s="1"/>
  <c r="B260" i="1"/>
  <c r="A48" i="2" s="1"/>
  <c r="B259" i="1"/>
  <c r="A47" i="2" s="1"/>
  <c r="B258" i="1"/>
  <c r="A46" i="2" s="1"/>
  <c r="B257" i="1"/>
  <c r="A45" i="2" s="1"/>
  <c r="B256" i="1"/>
  <c r="C229" i="1"/>
  <c r="I229" i="1" s="1"/>
  <c r="C228" i="1"/>
  <c r="I228" i="1" s="1"/>
  <c r="C227" i="1"/>
  <c r="I227" i="1" s="1"/>
  <c r="C226" i="1"/>
  <c r="I226" i="1" s="1"/>
  <c r="C225" i="1"/>
  <c r="I225" i="1" s="1"/>
  <c r="C224" i="1"/>
  <c r="I224" i="1" s="1"/>
  <c r="C223" i="1"/>
  <c r="I223" i="1" s="1"/>
  <c r="C222" i="1"/>
  <c r="I222" i="1" s="1"/>
  <c r="C221" i="1"/>
  <c r="I221" i="1" s="1"/>
  <c r="C220" i="1"/>
  <c r="I220" i="1" s="1"/>
  <c r="C219" i="1"/>
  <c r="I219" i="1" s="1"/>
  <c r="C218" i="1"/>
  <c r="I218" i="1" s="1"/>
  <c r="C217" i="1"/>
  <c r="I217" i="1" s="1"/>
  <c r="C216" i="1"/>
  <c r="I216" i="1" s="1"/>
  <c r="C215" i="1"/>
  <c r="I215" i="1" s="1"/>
  <c r="C214" i="1"/>
  <c r="I214" i="1" s="1"/>
  <c r="C213" i="1"/>
  <c r="I213" i="1" s="1"/>
  <c r="C212" i="1"/>
  <c r="I212" i="1" s="1"/>
  <c r="C211" i="1"/>
  <c r="I211" i="1" s="1"/>
  <c r="C210" i="1"/>
  <c r="I210" i="1" s="1"/>
  <c r="C209" i="1"/>
  <c r="I209" i="1" s="1"/>
  <c r="C208" i="1"/>
  <c r="I208" i="1" s="1"/>
  <c r="C207" i="1"/>
  <c r="I207" i="1" s="1"/>
  <c r="C206" i="1"/>
  <c r="I206" i="1" s="1"/>
  <c r="C205" i="1"/>
  <c r="I205" i="1" s="1"/>
  <c r="C204" i="1"/>
  <c r="I204" i="1" s="1"/>
  <c r="C203" i="1"/>
  <c r="I203" i="1" s="1"/>
  <c r="C202" i="1"/>
  <c r="I202" i="1" s="1"/>
  <c r="C201" i="1"/>
  <c r="I201" i="1" s="1"/>
  <c r="C200" i="1"/>
  <c r="I200" i="1" s="1"/>
  <c r="C199" i="1"/>
  <c r="I199" i="1" s="1"/>
  <c r="C198" i="1"/>
  <c r="I198" i="1" s="1"/>
  <c r="C197" i="1"/>
  <c r="I197" i="1" s="1"/>
  <c r="C196" i="1"/>
  <c r="I196" i="1" s="1"/>
  <c r="C195" i="1"/>
  <c r="I195" i="1" s="1"/>
  <c r="C194" i="1"/>
  <c r="I194" i="1" s="1"/>
  <c r="C193" i="1"/>
  <c r="I193" i="1" s="1"/>
  <c r="C192" i="1"/>
  <c r="I192" i="1" s="1"/>
  <c r="C191" i="1"/>
  <c r="I191" i="1" s="1"/>
  <c r="C190" i="1"/>
  <c r="I190" i="1" s="1"/>
  <c r="C189" i="1"/>
  <c r="I189" i="1" s="1"/>
  <c r="C188" i="1"/>
  <c r="I188" i="1" s="1"/>
  <c r="C187" i="1"/>
  <c r="I187" i="1" s="1"/>
  <c r="C186" i="1"/>
  <c r="I186" i="1" s="1"/>
  <c r="C185" i="1"/>
  <c r="I185" i="1" s="1"/>
  <c r="C184" i="1"/>
  <c r="I184" i="1" s="1"/>
  <c r="C183" i="1"/>
  <c r="I183" i="1" s="1"/>
  <c r="C182" i="1"/>
  <c r="I182" i="1" s="1"/>
  <c r="C181" i="1"/>
  <c r="I181" i="1" s="1"/>
  <c r="C180" i="1"/>
  <c r="I180" i="1" s="1"/>
  <c r="C179" i="1"/>
  <c r="I179" i="1" s="1"/>
  <c r="C178" i="1"/>
  <c r="I178" i="1" s="1"/>
  <c r="C177" i="1"/>
  <c r="I177" i="1" s="1"/>
  <c r="C176" i="1"/>
  <c r="I176" i="1" s="1"/>
  <c r="C175" i="1"/>
  <c r="I175" i="1" s="1"/>
  <c r="C174" i="1"/>
  <c r="I174" i="1" s="1"/>
  <c r="C173" i="1"/>
  <c r="I173" i="1" s="1"/>
  <c r="C172" i="1"/>
  <c r="I172" i="1" s="1"/>
  <c r="C171" i="1"/>
  <c r="I171" i="1" s="1"/>
  <c r="C170" i="1"/>
  <c r="I170" i="1" s="1"/>
  <c r="C169" i="1"/>
  <c r="I169" i="1" s="1"/>
  <c r="C168" i="1"/>
  <c r="I168" i="1" s="1"/>
  <c r="C167" i="1"/>
  <c r="I167" i="1" s="1"/>
  <c r="C166" i="1"/>
  <c r="I166" i="1" s="1"/>
  <c r="C165" i="1"/>
  <c r="I165" i="1" s="1"/>
  <c r="C164" i="1"/>
  <c r="I164" i="1" s="1"/>
  <c r="C163" i="1"/>
  <c r="I163" i="1" s="1"/>
  <c r="C162" i="1"/>
  <c r="I162" i="1" s="1"/>
  <c r="C161" i="1"/>
  <c r="I161" i="1" s="1"/>
  <c r="C160" i="1"/>
  <c r="I160" i="1" s="1"/>
  <c r="C159" i="1"/>
  <c r="I159" i="1" s="1"/>
  <c r="C158" i="1"/>
  <c r="I158" i="1" s="1"/>
  <c r="C157" i="1"/>
  <c r="I157" i="1" s="1"/>
  <c r="C156" i="1"/>
  <c r="I156" i="1" s="1"/>
  <c r="C155" i="1"/>
  <c r="I155" i="1" s="1"/>
  <c r="C154" i="1"/>
  <c r="I154" i="1" s="1"/>
  <c r="C153" i="1"/>
  <c r="I153" i="1" s="1"/>
  <c r="C152" i="1"/>
  <c r="I152" i="1" s="1"/>
  <c r="C151" i="1"/>
  <c r="I151" i="1" s="1"/>
  <c r="C150" i="1"/>
  <c r="I150" i="1" s="1"/>
  <c r="C149" i="1"/>
  <c r="I149" i="1" s="1"/>
  <c r="C148" i="1"/>
  <c r="I148" i="1" s="1"/>
  <c r="C147" i="1"/>
  <c r="I147" i="1" s="1"/>
  <c r="C146" i="1"/>
  <c r="I146" i="1" s="1"/>
  <c r="C145" i="1"/>
  <c r="I145" i="1" s="1"/>
  <c r="C144" i="1"/>
  <c r="I144" i="1" s="1"/>
  <c r="C143" i="1"/>
  <c r="I143" i="1" s="1"/>
  <c r="C142" i="1"/>
  <c r="I142" i="1" s="1"/>
  <c r="C141" i="1"/>
  <c r="I141" i="1" s="1"/>
  <c r="C140" i="1"/>
  <c r="I140" i="1" s="1"/>
  <c r="C139" i="1"/>
  <c r="I139" i="1" s="1"/>
  <c r="C138" i="1"/>
  <c r="I138" i="1" s="1"/>
  <c r="C137" i="1"/>
  <c r="I137" i="1" s="1"/>
  <c r="C136" i="1"/>
  <c r="I136" i="1" s="1"/>
  <c r="C135" i="1"/>
  <c r="I135" i="1" s="1"/>
  <c r="C134" i="1"/>
  <c r="I134" i="1" s="1"/>
  <c r="C133" i="1"/>
  <c r="I133" i="1" s="1"/>
  <c r="C132" i="1"/>
  <c r="I132" i="1" s="1"/>
  <c r="C131" i="1"/>
  <c r="I131" i="1" s="1"/>
  <c r="C130" i="1"/>
  <c r="I130" i="1" s="1"/>
  <c r="C129" i="1"/>
  <c r="I129" i="1" s="1"/>
  <c r="C128" i="1"/>
  <c r="I128" i="1" s="1"/>
  <c r="C127" i="1"/>
  <c r="I127" i="1" s="1"/>
  <c r="C126" i="1"/>
  <c r="I126" i="1" s="1"/>
  <c r="C125" i="1"/>
  <c r="I125" i="1" s="1"/>
  <c r="C124" i="1"/>
  <c r="I124" i="1" s="1"/>
  <c r="C123" i="1"/>
  <c r="I123" i="1" s="1"/>
  <c r="C122" i="1"/>
  <c r="I122" i="1" s="1"/>
  <c r="C121" i="1"/>
  <c r="I121" i="1" s="1"/>
  <c r="C120" i="1"/>
  <c r="I120" i="1" s="1"/>
  <c r="C119" i="1"/>
  <c r="I119" i="1" s="1"/>
  <c r="C118" i="1"/>
  <c r="I118" i="1" s="1"/>
  <c r="C117" i="1"/>
  <c r="I117" i="1" s="1"/>
  <c r="C116" i="1"/>
  <c r="I116" i="1" s="1"/>
  <c r="C115" i="1"/>
  <c r="I115" i="1" s="1"/>
  <c r="C114" i="1"/>
  <c r="I114" i="1" s="1"/>
  <c r="C113" i="1"/>
  <c r="I113" i="1" s="1"/>
  <c r="C112" i="1"/>
  <c r="I112" i="1" s="1"/>
  <c r="C111" i="1"/>
  <c r="I111" i="1" s="1"/>
  <c r="C110" i="1"/>
  <c r="I110" i="1" s="1"/>
  <c r="C109" i="1"/>
  <c r="I109" i="1" s="1"/>
  <c r="C108" i="1"/>
  <c r="I108" i="1" s="1"/>
  <c r="C107" i="1"/>
  <c r="I107" i="1" s="1"/>
  <c r="C106" i="1"/>
  <c r="I106" i="1" s="1"/>
  <c r="C105" i="1"/>
  <c r="I105" i="1" s="1"/>
  <c r="C104" i="1"/>
  <c r="I104" i="1" s="1"/>
  <c r="C103" i="1"/>
  <c r="I103" i="1" s="1"/>
  <c r="C102" i="1"/>
  <c r="I102" i="1" s="1"/>
  <c r="C101" i="1"/>
  <c r="I101" i="1" s="1"/>
  <c r="C100" i="1"/>
  <c r="I100" i="1" s="1"/>
  <c r="C99" i="1"/>
  <c r="I99" i="1" s="1"/>
  <c r="C98" i="1"/>
  <c r="I98" i="1" s="1"/>
  <c r="C97" i="1"/>
  <c r="I97" i="1" s="1"/>
  <c r="C96" i="1"/>
  <c r="I96" i="1" s="1"/>
  <c r="C95" i="1"/>
  <c r="I95" i="1" s="1"/>
  <c r="C94" i="1"/>
  <c r="I94" i="1" s="1"/>
  <c r="C93" i="1"/>
  <c r="I93" i="1" s="1"/>
  <c r="C92" i="1"/>
  <c r="I92" i="1" s="1"/>
  <c r="C91" i="1"/>
  <c r="I91" i="1" s="1"/>
  <c r="C90" i="1"/>
  <c r="I90" i="1" s="1"/>
  <c r="C89" i="1"/>
  <c r="I89" i="1" s="1"/>
  <c r="C88" i="1"/>
  <c r="I88" i="1" s="1"/>
  <c r="C87" i="1"/>
  <c r="I87" i="1" s="1"/>
  <c r="C86" i="1"/>
  <c r="I86" i="1" s="1"/>
  <c r="C85" i="1"/>
  <c r="I85" i="1" s="1"/>
  <c r="C84" i="1"/>
  <c r="I84" i="1" s="1"/>
  <c r="C83" i="1"/>
  <c r="I83" i="1" s="1"/>
  <c r="C82" i="1"/>
  <c r="I82" i="1" s="1"/>
  <c r="C81" i="1"/>
  <c r="I81" i="1" s="1"/>
  <c r="C80" i="1"/>
  <c r="I80" i="1" s="1"/>
  <c r="C79" i="1"/>
  <c r="I79" i="1" s="1"/>
  <c r="C78" i="1"/>
  <c r="I78" i="1" s="1"/>
  <c r="C77" i="1"/>
  <c r="I77" i="1" s="1"/>
  <c r="C76" i="1"/>
  <c r="I76" i="1" s="1"/>
  <c r="C75" i="1"/>
  <c r="I75" i="1" s="1"/>
  <c r="C74" i="1"/>
  <c r="I74" i="1" s="1"/>
  <c r="C73" i="1"/>
  <c r="I73" i="1" s="1"/>
  <c r="C72" i="1"/>
  <c r="I72" i="1" s="1"/>
  <c r="C71" i="1"/>
  <c r="I71" i="1" s="1"/>
  <c r="C70" i="1"/>
  <c r="I70" i="1" s="1"/>
  <c r="C69" i="1"/>
  <c r="I69" i="1" s="1"/>
  <c r="C68" i="1"/>
  <c r="I68" i="1" s="1"/>
  <c r="C67" i="1"/>
  <c r="I67" i="1" s="1"/>
  <c r="C66" i="1"/>
  <c r="I66" i="1" s="1"/>
  <c r="C65" i="1"/>
  <c r="I65" i="1" s="1"/>
  <c r="C64" i="1"/>
  <c r="I64" i="1" s="1"/>
  <c r="C63" i="1"/>
  <c r="I63" i="1" s="1"/>
  <c r="C62" i="1"/>
  <c r="I62" i="1" s="1"/>
  <c r="C61" i="1"/>
  <c r="I61" i="1" s="1"/>
  <c r="C60" i="1"/>
  <c r="I60" i="1" s="1"/>
  <c r="C59" i="1"/>
  <c r="I59" i="1" s="1"/>
  <c r="C58" i="1"/>
  <c r="I58" i="1" s="1"/>
  <c r="C57" i="1"/>
  <c r="I57" i="1" s="1"/>
  <c r="C56" i="1"/>
  <c r="I56" i="1" s="1"/>
  <c r="C55" i="1"/>
  <c r="I55" i="1" s="1"/>
  <c r="C54" i="1"/>
  <c r="I54" i="1" s="1"/>
  <c r="C53" i="1"/>
  <c r="I53" i="1" s="1"/>
  <c r="C52" i="1"/>
  <c r="I52" i="1" s="1"/>
  <c r="C51" i="1"/>
  <c r="I51" i="1" s="1"/>
  <c r="C50" i="1"/>
  <c r="I50" i="1" s="1"/>
  <c r="C49" i="1"/>
  <c r="I49" i="1" s="1"/>
  <c r="C48" i="1"/>
  <c r="I48" i="1" s="1"/>
  <c r="C47" i="1"/>
  <c r="I47" i="1" s="1"/>
  <c r="C46" i="1"/>
  <c r="I46" i="1" s="1"/>
  <c r="C45" i="1"/>
  <c r="I45" i="1" s="1"/>
  <c r="C44" i="1"/>
  <c r="I44" i="1" s="1"/>
  <c r="C43" i="1"/>
  <c r="I43" i="1" s="1"/>
  <c r="C42" i="1"/>
  <c r="I42" i="1" s="1"/>
  <c r="C41" i="1"/>
  <c r="I41" i="1" s="1"/>
  <c r="C40" i="1"/>
  <c r="I40" i="1" s="1"/>
  <c r="C39" i="1"/>
  <c r="I39" i="1" s="1"/>
  <c r="C38" i="1"/>
  <c r="I38" i="1" s="1"/>
  <c r="C37" i="1"/>
  <c r="I37" i="1" s="1"/>
  <c r="C36" i="1"/>
  <c r="I36" i="1" s="1"/>
  <c r="C35" i="1"/>
  <c r="I35" i="1" s="1"/>
  <c r="C34" i="1"/>
  <c r="I34" i="1" s="1"/>
  <c r="C33" i="1"/>
  <c r="I33" i="1" s="1"/>
  <c r="C32" i="1"/>
  <c r="I32" i="1" s="1"/>
  <c r="C31" i="1"/>
  <c r="I31" i="1" s="1"/>
  <c r="C30" i="1"/>
  <c r="I30" i="1" s="1"/>
  <c r="C29" i="1"/>
  <c r="I29" i="1" s="1"/>
  <c r="C28" i="1"/>
  <c r="I28" i="1" s="1"/>
  <c r="C27" i="1"/>
  <c r="I27" i="1" s="1"/>
  <c r="C26" i="1"/>
  <c r="I26" i="1" s="1"/>
  <c r="C25" i="1"/>
  <c r="I25" i="1" s="1"/>
  <c r="C24" i="1"/>
  <c r="I24" i="1" s="1"/>
  <c r="C23" i="1"/>
  <c r="I23" i="1" s="1"/>
  <c r="C22" i="1"/>
  <c r="I22" i="1" s="1"/>
  <c r="C21" i="1"/>
  <c r="I21" i="1" s="1"/>
  <c r="C20" i="1"/>
  <c r="I20" i="1" s="1"/>
  <c r="C19" i="1"/>
  <c r="I19" i="1" s="1"/>
  <c r="C18" i="1"/>
  <c r="I18" i="1" s="1"/>
  <c r="C17" i="1"/>
  <c r="I17" i="1" s="1"/>
  <c r="C16" i="1"/>
  <c r="I16" i="1" s="1"/>
  <c r="C15" i="1"/>
  <c r="I15" i="1" s="1"/>
  <c r="C14" i="1"/>
  <c r="I14" i="1" s="1"/>
  <c r="C13" i="1"/>
  <c r="I13" i="1" s="1"/>
  <c r="C11" i="1"/>
  <c r="I11" i="1" s="1"/>
  <c r="C10" i="1"/>
  <c r="I10" i="1" s="1"/>
  <c r="C9" i="1"/>
  <c r="I9" i="1" s="1"/>
  <c r="C8" i="1"/>
  <c r="I8" i="1" l="1"/>
  <c r="D293" i="1"/>
  <c r="D291" i="1"/>
  <c r="D292" i="1"/>
  <c r="D289" i="1"/>
  <c r="D290" i="1"/>
  <c r="A44" i="2"/>
  <c r="B10" i="6"/>
  <c r="A9" i="1" l="1"/>
  <c r="A10" i="1" s="1"/>
  <c r="A11" i="1" l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B44" i="2" l="1"/>
  <c r="H44" i="2" s="1"/>
  <c r="B43" i="2"/>
  <c r="H43" i="2" s="1"/>
  <c r="B42" i="2"/>
  <c r="H42" i="2" s="1"/>
  <c r="B41" i="2"/>
  <c r="H41" i="2" s="1"/>
  <c r="B40" i="2"/>
  <c r="H40" i="2" s="1"/>
  <c r="B39" i="2"/>
  <c r="H39" i="2" s="1"/>
  <c r="B38" i="2"/>
  <c r="H38" i="2" s="1"/>
  <c r="B37" i="2"/>
  <c r="H37" i="2" s="1"/>
  <c r="B36" i="2"/>
  <c r="H36" i="2" s="1"/>
  <c r="B35" i="2"/>
  <c r="H35" i="2" s="1"/>
  <c r="B34" i="2"/>
  <c r="H34" i="2" s="1"/>
  <c r="B33" i="2"/>
  <c r="H33" i="2" s="1"/>
  <c r="B32" i="2"/>
  <c r="H32" i="2" s="1"/>
  <c r="B31" i="2"/>
  <c r="H31" i="2" s="1"/>
  <c r="B30" i="2"/>
  <c r="H30" i="2" s="1"/>
  <c r="B29" i="2"/>
  <c r="H29" i="2" s="1"/>
  <c r="B28" i="2"/>
  <c r="H28" i="2" s="1"/>
  <c r="B27" i="2"/>
  <c r="H27" i="2" s="1"/>
  <c r="B26" i="2"/>
  <c r="H26" i="2" s="1"/>
  <c r="B25" i="2"/>
  <c r="H25" i="2" s="1"/>
  <c r="B24" i="2"/>
  <c r="H24" i="2" s="1"/>
  <c r="B23" i="2"/>
  <c r="H23" i="2" s="1"/>
  <c r="B22" i="2"/>
  <c r="H22" i="2" s="1"/>
  <c r="B21" i="2"/>
  <c r="H21" i="2" s="1"/>
  <c r="B20" i="2"/>
  <c r="H20" i="2" s="1"/>
  <c r="B19" i="2"/>
  <c r="H19" i="2" s="1"/>
  <c r="B18" i="2"/>
  <c r="H18" i="2" s="1"/>
  <c r="B17" i="2"/>
  <c r="H17" i="2" s="1"/>
  <c r="B16" i="2"/>
  <c r="H16" i="2" s="1"/>
  <c r="B15" i="2"/>
  <c r="H15" i="2" s="1"/>
  <c r="B14" i="2"/>
  <c r="H14" i="2" s="1"/>
  <c r="B13" i="2"/>
  <c r="H13" i="2" s="1"/>
  <c r="B12" i="2"/>
  <c r="H12" i="2" s="1"/>
  <c r="B11" i="2"/>
  <c r="H11" i="2" s="1"/>
  <c r="B10" i="2"/>
  <c r="H10" i="2" s="1"/>
  <c r="B9" i="2"/>
  <c r="H9" i="2" s="1"/>
  <c r="B8" i="2"/>
  <c r="H8" i="2" s="1"/>
  <c r="C81" i="2" l="1"/>
  <c r="C79" i="2"/>
  <c r="C80" i="2"/>
  <c r="C77" i="2"/>
  <c r="C78" i="2"/>
  <c r="C76" i="2"/>
  <c r="C75" i="2"/>
  <c r="C74" i="2"/>
  <c r="C73" i="2"/>
  <c r="C72" i="2"/>
  <c r="C71" i="2"/>
  <c r="C70" i="2"/>
  <c r="C69" i="2"/>
  <c r="C68" i="2"/>
  <c r="C67" i="2"/>
  <c r="E65" i="2"/>
  <c r="C66" i="2"/>
  <c r="C65" i="2"/>
  <c r="E64" i="2"/>
  <c r="C64" i="2"/>
  <c r="E63" i="2"/>
  <c r="E62" i="2"/>
  <c r="C62" i="2"/>
  <c r="C63" i="2"/>
  <c r="C60" i="2"/>
  <c r="C59" i="2"/>
  <c r="C61" i="2"/>
  <c r="C58" i="2"/>
  <c r="E61" i="2"/>
  <c r="E60" i="2"/>
  <c r="E59" i="2"/>
  <c r="E58" i="2"/>
  <c r="C57" i="2"/>
  <c r="E57" i="2"/>
  <c r="C56" i="2"/>
  <c r="E56" i="2"/>
  <c r="F56" i="2"/>
  <c r="F46" i="2"/>
  <c r="F48" i="2"/>
  <c r="F49" i="2"/>
  <c r="F55" i="2"/>
  <c r="F50" i="2"/>
  <c r="F51" i="2"/>
  <c r="F52" i="2"/>
  <c r="F54" i="2"/>
  <c r="F47" i="2"/>
  <c r="F45" i="2"/>
  <c r="C54" i="2"/>
  <c r="C55" i="2"/>
  <c r="E54" i="2"/>
  <c r="E55" i="2"/>
  <c r="C53" i="2"/>
  <c r="C52" i="2"/>
  <c r="C51" i="2"/>
  <c r="C50" i="2"/>
  <c r="E51" i="2"/>
  <c r="E53" i="2"/>
  <c r="E52" i="2"/>
  <c r="E50" i="2"/>
  <c r="F53" i="2"/>
  <c r="D45" i="2"/>
  <c r="C8" i="2"/>
  <c r="C48" i="2"/>
  <c r="C47" i="2"/>
  <c r="C46" i="2"/>
  <c r="C49" i="2"/>
  <c r="C45" i="2"/>
  <c r="E49" i="2"/>
  <c r="E48" i="2"/>
  <c r="E47" i="2"/>
  <c r="E46" i="2"/>
  <c r="E45" i="2"/>
  <c r="H207" i="1"/>
  <c r="E12" i="1"/>
  <c r="F74" i="1"/>
  <c r="F41" i="1"/>
  <c r="F41" i="2"/>
  <c r="E63" i="1"/>
  <c r="F16" i="1"/>
  <c r="F24" i="1"/>
  <c r="D112" i="1"/>
  <c r="G136" i="1"/>
  <c r="E145" i="1"/>
  <c r="F152" i="1"/>
  <c r="F35" i="2"/>
  <c r="E21" i="2"/>
  <c r="F33" i="2"/>
  <c r="E89" i="1"/>
  <c r="E34" i="1"/>
  <c r="D51" i="1"/>
  <c r="F83" i="1"/>
  <c r="G44" i="1"/>
  <c r="G158" i="1"/>
  <c r="G166" i="1"/>
  <c r="F15" i="1"/>
  <c r="F103" i="1"/>
  <c r="E112" i="1"/>
  <c r="F199" i="1"/>
  <c r="H119" i="1"/>
  <c r="E66" i="1"/>
  <c r="H37" i="1"/>
  <c r="E62" i="1"/>
  <c r="G219" i="1"/>
  <c r="E12" i="2"/>
  <c r="F78" i="1"/>
  <c r="G63" i="1"/>
  <c r="G86" i="1"/>
  <c r="G93" i="1"/>
  <c r="E149" i="1"/>
  <c r="E165" i="1"/>
  <c r="F189" i="1"/>
  <c r="F22" i="2"/>
  <c r="G87" i="1"/>
  <c r="E13" i="2"/>
  <c r="C28" i="2"/>
  <c r="C41" i="2"/>
  <c r="D16" i="2"/>
  <c r="C23" i="2"/>
  <c r="E32" i="2"/>
  <c r="E33" i="2"/>
  <c r="D9" i="1"/>
  <c r="H198" i="1"/>
  <c r="E99" i="1"/>
  <c r="H184" i="1"/>
  <c r="F206" i="1"/>
  <c r="D32" i="1"/>
  <c r="E40" i="1"/>
  <c r="H77" i="1"/>
  <c r="F62" i="1"/>
  <c r="E73" i="1"/>
  <c r="F80" i="1"/>
  <c r="H99" i="1"/>
  <c r="D122" i="1"/>
  <c r="G150" i="1"/>
  <c r="H193" i="1"/>
  <c r="E201" i="1"/>
  <c r="F207" i="1"/>
  <c r="D197" i="1"/>
  <c r="F205" i="1"/>
  <c r="E159" i="1"/>
  <c r="H176" i="1"/>
  <c r="H200" i="1"/>
  <c r="D11" i="1"/>
  <c r="H51" i="1"/>
  <c r="H33" i="1"/>
  <c r="H47" i="1"/>
  <c r="F154" i="1"/>
  <c r="H208" i="1"/>
  <c r="D28" i="1"/>
  <c r="D211" i="1"/>
  <c r="E65" i="1"/>
  <c r="G205" i="1"/>
  <c r="D38" i="1"/>
  <c r="F79" i="1"/>
  <c r="E168" i="1"/>
  <c r="F214" i="1"/>
  <c r="D27" i="1"/>
  <c r="H72" i="1"/>
  <c r="G55" i="1"/>
  <c r="E74" i="1"/>
  <c r="F82" i="1"/>
  <c r="H112" i="1"/>
  <c r="G132" i="1"/>
  <c r="E163" i="1"/>
  <c r="G203" i="1"/>
  <c r="H209" i="1"/>
  <c r="E9" i="1"/>
  <c r="F31" i="1"/>
  <c r="D60" i="1"/>
  <c r="H137" i="1"/>
  <c r="F27" i="1"/>
  <c r="F49" i="1"/>
  <c r="G75" i="1"/>
  <c r="F145" i="1"/>
  <c r="G168" i="1"/>
  <c r="F172" i="1"/>
  <c r="F188" i="1"/>
  <c r="E197" i="1"/>
  <c r="G175" i="1"/>
  <c r="F42" i="1"/>
  <c r="F73" i="1"/>
  <c r="D78" i="1"/>
  <c r="E108" i="1"/>
  <c r="G127" i="1"/>
  <c r="G159" i="1"/>
  <c r="H152" i="1"/>
  <c r="H163" i="1"/>
  <c r="H169" i="1"/>
  <c r="F181" i="1"/>
  <c r="E198" i="1"/>
  <c r="E204" i="1"/>
  <c r="E214" i="1"/>
  <c r="F36" i="2"/>
  <c r="D17" i="1"/>
  <c r="G27" i="1"/>
  <c r="F61" i="1"/>
  <c r="H88" i="1"/>
  <c r="E95" i="1"/>
  <c r="E101" i="1"/>
  <c r="D107" i="1"/>
  <c r="G113" i="1"/>
  <c r="G154" i="1"/>
  <c r="H172" i="1"/>
  <c r="H182" i="1"/>
  <c r="E220" i="1"/>
  <c r="C33" i="2"/>
  <c r="C42" i="2"/>
  <c r="F56" i="1"/>
  <c r="F135" i="1"/>
  <c r="G31" i="1"/>
  <c r="C24" i="2"/>
  <c r="D189" i="1"/>
  <c r="D13" i="1"/>
  <c r="G32" i="1"/>
  <c r="E29" i="1"/>
  <c r="E33" i="1"/>
  <c r="F46" i="1"/>
  <c r="F58" i="1"/>
  <c r="H65" i="1"/>
  <c r="H75" i="1"/>
  <c r="D81" i="1"/>
  <c r="H91" i="1"/>
  <c r="H123" i="1"/>
  <c r="G131" i="1"/>
  <c r="G149" i="1"/>
  <c r="F155" i="1"/>
  <c r="H160" i="1"/>
  <c r="E179" i="1"/>
  <c r="F185" i="1"/>
  <c r="H190" i="1"/>
  <c r="E211" i="1"/>
  <c r="G223" i="1"/>
  <c r="C25" i="2"/>
  <c r="E36" i="2"/>
  <c r="C34" i="2"/>
  <c r="D40" i="2"/>
  <c r="G108" i="1"/>
  <c r="G215" i="1"/>
  <c r="G24" i="1"/>
  <c r="F51" i="1"/>
  <c r="C18" i="2"/>
  <c r="E13" i="1"/>
  <c r="E20" i="1"/>
  <c r="E26" i="1"/>
  <c r="F29" i="1"/>
  <c r="H52" i="1"/>
  <c r="G58" i="1"/>
  <c r="F81" i="1"/>
  <c r="H131" i="1"/>
  <c r="H150" i="1"/>
  <c r="H173" i="1"/>
  <c r="H179" i="1"/>
  <c r="H185" i="1"/>
  <c r="F191" i="1"/>
  <c r="C10" i="2"/>
  <c r="E20" i="2"/>
  <c r="E25" i="2"/>
  <c r="E32" i="1"/>
  <c r="H61" i="1"/>
  <c r="E153" i="1"/>
  <c r="E45" i="1"/>
  <c r="F65" i="1"/>
  <c r="F149" i="1"/>
  <c r="F178" i="1"/>
  <c r="F215" i="1"/>
  <c r="D39" i="2"/>
  <c r="G20" i="1"/>
  <c r="E78" i="1"/>
  <c r="G81" i="1"/>
  <c r="H146" i="1"/>
  <c r="G162" i="1"/>
  <c r="F174" i="1"/>
  <c r="D180" i="1"/>
  <c r="G198" i="1"/>
  <c r="G191" i="1"/>
  <c r="H213" i="1"/>
  <c r="E10" i="2"/>
  <c r="E15" i="2"/>
  <c r="C21" i="2"/>
  <c r="F25" i="2"/>
  <c r="F43" i="2"/>
  <c r="G90" i="1"/>
  <c r="H90" i="1"/>
  <c r="F35" i="1"/>
  <c r="E116" i="1"/>
  <c r="H116" i="1"/>
  <c r="E195" i="1"/>
  <c r="H219" i="1"/>
  <c r="H104" i="1"/>
  <c r="F104" i="1"/>
  <c r="E104" i="1"/>
  <c r="F48" i="1"/>
  <c r="D59" i="1"/>
  <c r="F59" i="1"/>
  <c r="E218" i="1"/>
  <c r="E217" i="1"/>
  <c r="E25" i="1"/>
  <c r="F33" i="1"/>
  <c r="F28" i="1"/>
  <c r="F25" i="1"/>
  <c r="F32" i="1"/>
  <c r="H100" i="1"/>
  <c r="F218" i="1"/>
  <c r="F26" i="2"/>
  <c r="C14" i="2"/>
  <c r="G195" i="1"/>
  <c r="D183" i="1"/>
  <c r="H41" i="1"/>
  <c r="F38" i="1"/>
  <c r="G38" i="1"/>
  <c r="E55" i="1"/>
  <c r="D54" i="1"/>
  <c r="G66" i="1"/>
  <c r="F219" i="1"/>
  <c r="H81" i="1"/>
  <c r="H57" i="1"/>
  <c r="G57" i="1"/>
  <c r="F57" i="1"/>
  <c r="D57" i="1"/>
  <c r="G88" i="1"/>
  <c r="E76" i="1"/>
  <c r="G76" i="1"/>
  <c r="D116" i="1"/>
  <c r="E14" i="1"/>
  <c r="G42" i="1"/>
  <c r="D30" i="1"/>
  <c r="G30" i="1"/>
  <c r="G69" i="1"/>
  <c r="F69" i="1"/>
  <c r="H128" i="1"/>
  <c r="G128" i="1"/>
  <c r="H132" i="1"/>
  <c r="G140" i="1"/>
  <c r="H168" i="1"/>
  <c r="E190" i="1"/>
  <c r="H214" i="1"/>
  <c r="D20" i="2"/>
  <c r="E29" i="2"/>
  <c r="C32" i="2"/>
  <c r="D18" i="1"/>
  <c r="E37" i="1"/>
  <c r="E42" i="1"/>
  <c r="D46" i="1"/>
  <c r="D49" i="1"/>
  <c r="D64" i="1"/>
  <c r="H66" i="1"/>
  <c r="F108" i="1"/>
  <c r="E113" i="1"/>
  <c r="H120" i="1"/>
  <c r="F136" i="1"/>
  <c r="D140" i="1"/>
  <c r="F144" i="1"/>
  <c r="F150" i="1"/>
  <c r="D178" i="1"/>
  <c r="E184" i="1"/>
  <c r="F190" i="1"/>
  <c r="H192" i="1"/>
  <c r="H197" i="1"/>
  <c r="E206" i="1"/>
  <c r="E213" i="1"/>
  <c r="D218" i="1"/>
  <c r="G220" i="1"/>
  <c r="C15" i="2"/>
  <c r="D17" i="2"/>
  <c r="F29" i="2"/>
  <c r="D32" i="2"/>
  <c r="D34" i="2"/>
  <c r="C40" i="2"/>
  <c r="D42" i="2"/>
  <c r="E136" i="1"/>
  <c r="G192" i="1"/>
  <c r="E46" i="1"/>
  <c r="F64" i="1"/>
  <c r="H144" i="1"/>
  <c r="G184" i="1"/>
  <c r="G190" i="1"/>
  <c r="D15" i="2"/>
  <c r="D15" i="1"/>
  <c r="D19" i="1"/>
  <c r="D26" i="1"/>
  <c r="D31" i="1"/>
  <c r="D37" i="1"/>
  <c r="E41" i="1"/>
  <c r="G49" i="1"/>
  <c r="D52" i="1"/>
  <c r="F55" i="1"/>
  <c r="G64" i="1"/>
  <c r="D77" i="1"/>
  <c r="E117" i="1"/>
  <c r="E126" i="1"/>
  <c r="H136" i="1"/>
  <c r="H140" i="1"/>
  <c r="F175" i="1"/>
  <c r="G178" i="1"/>
  <c r="G181" i="1"/>
  <c r="H189" i="1"/>
  <c r="F197" i="1"/>
  <c r="G200" i="1"/>
  <c r="D204" i="1"/>
  <c r="E207" i="1"/>
  <c r="G213" i="1"/>
  <c r="D13" i="2"/>
  <c r="D18" i="2"/>
  <c r="D21" i="2"/>
  <c r="F34" i="2"/>
  <c r="E44" i="2"/>
  <c r="F42" i="2"/>
  <c r="F60" i="1"/>
  <c r="E148" i="1"/>
  <c r="E34" i="2"/>
  <c r="E42" i="2"/>
  <c r="D12" i="1"/>
  <c r="E15" i="1"/>
  <c r="D24" i="1"/>
  <c r="D40" i="1"/>
  <c r="G52" i="1"/>
  <c r="E60" i="1"/>
  <c r="E64" i="1"/>
  <c r="E77" i="1"/>
  <c r="E119" i="1"/>
  <c r="D134" i="1"/>
  <c r="H141" i="1"/>
  <c r="D149" i="1"/>
  <c r="G197" i="1"/>
  <c r="E219" i="1"/>
  <c r="E18" i="2"/>
  <c r="F30" i="2"/>
  <c r="D35" i="2"/>
  <c r="D43" i="2"/>
  <c r="H73" i="1"/>
  <c r="E140" i="1"/>
  <c r="F213" i="1"/>
  <c r="D139" i="1"/>
  <c r="F37" i="1"/>
  <c r="D20" i="1"/>
  <c r="E56" i="1"/>
  <c r="D63" i="1"/>
  <c r="H103" i="1"/>
  <c r="H118" i="1"/>
  <c r="H135" i="1"/>
  <c r="F141" i="1"/>
  <c r="E146" i="1"/>
  <c r="H155" i="1"/>
  <c r="H159" i="1"/>
  <c r="G172" i="1"/>
  <c r="E189" i="1"/>
  <c r="G207" i="1"/>
  <c r="D10" i="2"/>
  <c r="E16" i="2"/>
  <c r="D25" i="2"/>
  <c r="E35" i="2"/>
  <c r="E41" i="2"/>
  <c r="E43" i="2"/>
  <c r="D21" i="1"/>
  <c r="E21" i="1"/>
  <c r="G33" i="1"/>
  <c r="G21" i="1"/>
  <c r="F21" i="1"/>
  <c r="G23" i="1"/>
  <c r="F23" i="1"/>
  <c r="E23" i="1"/>
  <c r="G35" i="1"/>
  <c r="D23" i="1"/>
  <c r="E43" i="1"/>
  <c r="F43" i="1"/>
  <c r="E44" i="1"/>
  <c r="H43" i="1"/>
  <c r="G43" i="1"/>
  <c r="D43" i="1"/>
  <c r="F68" i="1"/>
  <c r="G68" i="1"/>
  <c r="G71" i="1"/>
  <c r="D71" i="1"/>
  <c r="H85" i="1"/>
  <c r="F96" i="1"/>
  <c r="E85" i="1"/>
  <c r="H102" i="1"/>
  <c r="F102" i="1"/>
  <c r="E102" i="1"/>
  <c r="E106" i="1"/>
  <c r="H106" i="1"/>
  <c r="G106" i="1"/>
  <c r="D106" i="1"/>
  <c r="F106" i="1"/>
  <c r="H109" i="1"/>
  <c r="E109" i="1"/>
  <c r="D109" i="1"/>
  <c r="G109" i="1"/>
  <c r="D121" i="1"/>
  <c r="F128" i="1"/>
  <c r="G121" i="1"/>
  <c r="F121" i="1"/>
  <c r="F126" i="1"/>
  <c r="G163" i="1"/>
  <c r="G151" i="1"/>
  <c r="F151" i="1"/>
  <c r="E151" i="1"/>
  <c r="E152" i="1"/>
  <c r="D151" i="1"/>
  <c r="H170" i="1"/>
  <c r="E170" i="1"/>
  <c r="G170" i="1"/>
  <c r="F170" i="1"/>
  <c r="D170" i="1"/>
  <c r="G182" i="1"/>
  <c r="E11" i="1"/>
  <c r="E17" i="1"/>
  <c r="E19" i="1"/>
  <c r="G26" i="1"/>
  <c r="G28" i="1"/>
  <c r="G45" i="1"/>
  <c r="F45" i="1"/>
  <c r="G48" i="1"/>
  <c r="E49" i="1"/>
  <c r="D48" i="1"/>
  <c r="E54" i="1"/>
  <c r="E57" i="1"/>
  <c r="D68" i="1"/>
  <c r="H69" i="1"/>
  <c r="E71" i="1"/>
  <c r="E79" i="1"/>
  <c r="H80" i="1"/>
  <c r="D82" i="1"/>
  <c r="G82" i="1"/>
  <c r="G83" i="1"/>
  <c r="D85" i="1"/>
  <c r="E88" i="1"/>
  <c r="D87" i="1"/>
  <c r="G99" i="1"/>
  <c r="F87" i="1"/>
  <c r="F91" i="1"/>
  <c r="D91" i="1"/>
  <c r="G91" i="1"/>
  <c r="H93" i="1"/>
  <c r="F93" i="1"/>
  <c r="E94" i="1"/>
  <c r="D93" i="1"/>
  <c r="D102" i="1"/>
  <c r="F109" i="1"/>
  <c r="E114" i="1"/>
  <c r="F114" i="1"/>
  <c r="D114" i="1"/>
  <c r="G114" i="1"/>
  <c r="E121" i="1"/>
  <c r="G124" i="1"/>
  <c r="H124" i="1"/>
  <c r="F124" i="1"/>
  <c r="D124" i="1"/>
  <c r="G126" i="1"/>
  <c r="D129" i="1"/>
  <c r="H129" i="1"/>
  <c r="G129" i="1"/>
  <c r="E129" i="1"/>
  <c r="G141" i="1"/>
  <c r="F129" i="1"/>
  <c r="H151" i="1"/>
  <c r="F168" i="1"/>
  <c r="F160" i="1"/>
  <c r="H157" i="1"/>
  <c r="G157" i="1"/>
  <c r="F157" i="1"/>
  <c r="F158" i="1"/>
  <c r="F162" i="1"/>
  <c r="F159" i="1"/>
  <c r="D157" i="1"/>
  <c r="F165" i="1"/>
  <c r="F171" i="1"/>
  <c r="H171" i="1"/>
  <c r="G171" i="1"/>
  <c r="E171" i="1"/>
  <c r="D171" i="1"/>
  <c r="G177" i="1"/>
  <c r="D177" i="1"/>
  <c r="H201" i="1"/>
  <c r="G189" i="1"/>
  <c r="H177" i="1"/>
  <c r="F177" i="1"/>
  <c r="E177" i="1"/>
  <c r="D14" i="1"/>
  <c r="F17" i="1"/>
  <c r="D25" i="1"/>
  <c r="H49" i="1"/>
  <c r="E27" i="1"/>
  <c r="D29" i="1"/>
  <c r="G41" i="1"/>
  <c r="H55" i="1"/>
  <c r="E31" i="1"/>
  <c r="D34" i="1"/>
  <c r="F34" i="1"/>
  <c r="G40" i="1"/>
  <c r="D45" i="1"/>
  <c r="G46" i="1"/>
  <c r="E48" i="1"/>
  <c r="G54" i="1"/>
  <c r="D56" i="1"/>
  <c r="E59" i="1"/>
  <c r="G59" i="1"/>
  <c r="G60" i="1"/>
  <c r="H62" i="1"/>
  <c r="G62" i="1"/>
  <c r="H86" i="1"/>
  <c r="D62" i="1"/>
  <c r="H63" i="1"/>
  <c r="E68" i="1"/>
  <c r="F71" i="1"/>
  <c r="D73" i="1"/>
  <c r="G74" i="1"/>
  <c r="F76" i="1"/>
  <c r="H76" i="1"/>
  <c r="D76" i="1"/>
  <c r="D79" i="1"/>
  <c r="E82" i="1"/>
  <c r="H83" i="1"/>
  <c r="F85" i="1"/>
  <c r="E87" i="1"/>
  <c r="D89" i="1"/>
  <c r="G89" i="1"/>
  <c r="H113" i="1"/>
  <c r="H89" i="1"/>
  <c r="E91" i="1"/>
  <c r="E93" i="1"/>
  <c r="F95" i="1"/>
  <c r="F97" i="1"/>
  <c r="G100" i="1"/>
  <c r="E100" i="1"/>
  <c r="D100" i="1"/>
  <c r="G112" i="1"/>
  <c r="F100" i="1"/>
  <c r="G102" i="1"/>
  <c r="F112" i="1"/>
  <c r="H114" i="1"/>
  <c r="H121" i="1"/>
  <c r="E124" i="1"/>
  <c r="E127" i="1"/>
  <c r="E128" i="1"/>
  <c r="D127" i="1"/>
  <c r="H127" i="1"/>
  <c r="F127" i="1"/>
  <c r="D135" i="1"/>
  <c r="E157" i="1"/>
  <c r="G180" i="1"/>
  <c r="H180" i="1"/>
  <c r="F180" i="1"/>
  <c r="E180" i="1"/>
  <c r="F36" i="1"/>
  <c r="G36" i="1"/>
  <c r="G39" i="1"/>
  <c r="D39" i="1"/>
  <c r="H40" i="1"/>
  <c r="D50" i="1"/>
  <c r="G50" i="1"/>
  <c r="G51" i="1"/>
  <c r="G53" i="1"/>
  <c r="H53" i="1"/>
  <c r="D53" i="1"/>
  <c r="H60" i="1"/>
  <c r="H68" i="1"/>
  <c r="H70" i="1"/>
  <c r="E70" i="1"/>
  <c r="H71" i="1"/>
  <c r="H74" i="1"/>
  <c r="G85" i="1"/>
  <c r="H95" i="1"/>
  <c r="G110" i="1"/>
  <c r="F110" i="1"/>
  <c r="D110" i="1"/>
  <c r="E110" i="1"/>
  <c r="G122" i="1"/>
  <c r="H125" i="1"/>
  <c r="F125" i="1"/>
  <c r="E125" i="1"/>
  <c r="E130" i="1"/>
  <c r="G130" i="1"/>
  <c r="E131" i="1"/>
  <c r="H154" i="1"/>
  <c r="D130" i="1"/>
  <c r="F132" i="1"/>
  <c r="G142" i="1"/>
  <c r="F142" i="1"/>
  <c r="E142" i="1"/>
  <c r="D142" i="1"/>
  <c r="H166" i="1"/>
  <c r="H142" i="1"/>
  <c r="D10" i="1"/>
  <c r="F14" i="1"/>
  <c r="E18" i="1"/>
  <c r="F22" i="1"/>
  <c r="G34" i="1"/>
  <c r="D36" i="1"/>
  <c r="E39" i="1"/>
  <c r="H45" i="1"/>
  <c r="E47" i="1"/>
  <c r="H48" i="1"/>
  <c r="E50" i="1"/>
  <c r="E53" i="1"/>
  <c r="G56" i="1"/>
  <c r="G65" i="1"/>
  <c r="E67" i="1"/>
  <c r="H67" i="1"/>
  <c r="D67" i="1"/>
  <c r="D70" i="1"/>
  <c r="F72" i="1"/>
  <c r="G79" i="1"/>
  <c r="H82" i="1"/>
  <c r="G84" i="1"/>
  <c r="F84" i="1"/>
  <c r="H108" i="1"/>
  <c r="E84" i="1"/>
  <c r="G96" i="1"/>
  <c r="H87" i="1"/>
  <c r="F89" i="1"/>
  <c r="E98" i="1"/>
  <c r="G98" i="1"/>
  <c r="F98" i="1"/>
  <c r="E103" i="1"/>
  <c r="E107" i="1"/>
  <c r="H110" i="1"/>
  <c r="D125" i="1"/>
  <c r="F130" i="1"/>
  <c r="G137" i="1"/>
  <c r="H143" i="1"/>
  <c r="G143" i="1"/>
  <c r="F143" i="1"/>
  <c r="E143" i="1"/>
  <c r="G155" i="1"/>
  <c r="E158" i="1"/>
  <c r="H175" i="1"/>
  <c r="D223" i="1"/>
  <c r="D208" i="1"/>
  <c r="D213" i="1"/>
  <c r="D136" i="1"/>
  <c r="D104" i="1"/>
  <c r="D205" i="1"/>
  <c r="D210" i="1"/>
  <c r="D203" i="1"/>
  <c r="D188" i="1"/>
  <c r="D179" i="1"/>
  <c r="D176" i="1"/>
  <c r="D163" i="1"/>
  <c r="D160" i="1"/>
  <c r="D173" i="1"/>
  <c r="D181" i="1"/>
  <c r="D165" i="1"/>
  <c r="D154" i="1"/>
  <c r="D152" i="1"/>
  <c r="D144" i="1"/>
  <c r="D120" i="1"/>
  <c r="D222" i="1"/>
  <c r="D217" i="1"/>
  <c r="D212" i="1"/>
  <c r="D200" i="1"/>
  <c r="D158" i="1"/>
  <c r="D103" i="1"/>
  <c r="D99" i="1"/>
  <c r="D65" i="1"/>
  <c r="D33" i="1"/>
  <c r="D192" i="1"/>
  <c r="D184" i="1"/>
  <c r="D168" i="1"/>
  <c r="D128" i="1"/>
  <c r="D117" i="1"/>
  <c r="D88" i="1"/>
  <c r="H32" i="1"/>
  <c r="E10" i="1"/>
  <c r="E16" i="1"/>
  <c r="F18" i="1"/>
  <c r="F20" i="1"/>
  <c r="D22" i="1"/>
  <c r="E24" i="1"/>
  <c r="G25" i="1"/>
  <c r="G29" i="1"/>
  <c r="H34" i="1"/>
  <c r="E36" i="1"/>
  <c r="F39" i="1"/>
  <c r="D41" i="1"/>
  <c r="F44" i="1"/>
  <c r="H44" i="1"/>
  <c r="D44" i="1"/>
  <c r="D47" i="1"/>
  <c r="F50" i="1"/>
  <c r="F53" i="1"/>
  <c r="D55" i="1"/>
  <c r="H56" i="1"/>
  <c r="H59" i="1"/>
  <c r="G61" i="1"/>
  <c r="E61" i="1"/>
  <c r="G73" i="1"/>
  <c r="F67" i="1"/>
  <c r="F70" i="1"/>
  <c r="D72" i="1"/>
  <c r="E75" i="1"/>
  <c r="F75" i="1"/>
  <c r="H79" i="1"/>
  <c r="D84" i="1"/>
  <c r="D86" i="1"/>
  <c r="E90" i="1"/>
  <c r="F90" i="1"/>
  <c r="D94" i="1"/>
  <c r="D98" i="1"/>
  <c r="D105" i="1"/>
  <c r="F105" i="1"/>
  <c r="E105" i="1"/>
  <c r="G117" i="1"/>
  <c r="H105" i="1"/>
  <c r="E115" i="1"/>
  <c r="F117" i="1"/>
  <c r="F120" i="1"/>
  <c r="F122" i="1"/>
  <c r="G125" i="1"/>
  <c r="H130" i="1"/>
  <c r="D143" i="1"/>
  <c r="D148" i="1"/>
  <c r="G161" i="1"/>
  <c r="D161" i="1"/>
  <c r="G173" i="1"/>
  <c r="H161" i="1"/>
  <c r="F161" i="1"/>
  <c r="E161" i="1"/>
  <c r="G164" i="1"/>
  <c r="G176" i="1"/>
  <c r="H164" i="1"/>
  <c r="F164" i="1"/>
  <c r="E164" i="1"/>
  <c r="H188" i="1"/>
  <c r="F169" i="1"/>
  <c r="E181" i="1"/>
  <c r="H202" i="1"/>
  <c r="G202" i="1"/>
  <c r="E202" i="1"/>
  <c r="G214" i="1"/>
  <c r="E203" i="1"/>
  <c r="F202" i="1"/>
  <c r="D202" i="1"/>
  <c r="E22" i="1"/>
  <c r="F26" i="1"/>
  <c r="E28" i="1"/>
  <c r="F30" i="1"/>
  <c r="E30" i="1"/>
  <c r="H36" i="1"/>
  <c r="H38" i="1"/>
  <c r="E38" i="1"/>
  <c r="H39" i="1"/>
  <c r="H42" i="1"/>
  <c r="F47" i="1"/>
  <c r="H50" i="1"/>
  <c r="F52" i="1"/>
  <c r="E52" i="1"/>
  <c r="D58" i="1"/>
  <c r="H58" i="1"/>
  <c r="E58" i="1"/>
  <c r="D61" i="1"/>
  <c r="F63" i="1"/>
  <c r="G67" i="1"/>
  <c r="D69" i="1"/>
  <c r="G70" i="1"/>
  <c r="E72" i="1"/>
  <c r="D75" i="1"/>
  <c r="G77" i="1"/>
  <c r="F77" i="1"/>
  <c r="G80" i="1"/>
  <c r="E81" i="1"/>
  <c r="D80" i="1"/>
  <c r="H84" i="1"/>
  <c r="E86" i="1"/>
  <c r="D90" i="1"/>
  <c r="E92" i="1"/>
  <c r="F94" i="1"/>
  <c r="D96" i="1"/>
  <c r="H98" i="1"/>
  <c r="G103" i="1"/>
  <c r="G105" i="1"/>
  <c r="D108" i="1"/>
  <c r="D111" i="1"/>
  <c r="E118" i="1"/>
  <c r="D118" i="1"/>
  <c r="F118" i="1"/>
  <c r="H122" i="1"/>
  <c r="H133" i="1"/>
  <c r="G133" i="1"/>
  <c r="F133" i="1"/>
  <c r="E133" i="1"/>
  <c r="D133" i="1"/>
  <c r="G145" i="1"/>
  <c r="F140" i="1"/>
  <c r="H145" i="1"/>
  <c r="D153" i="1"/>
  <c r="H153" i="1"/>
  <c r="G153" i="1"/>
  <c r="F153" i="1"/>
  <c r="G165" i="1"/>
  <c r="D164" i="1"/>
  <c r="D167" i="1"/>
  <c r="H186" i="1"/>
  <c r="E186" i="1"/>
  <c r="G186" i="1"/>
  <c r="F186" i="1"/>
  <c r="D186" i="1"/>
  <c r="F28" i="2"/>
  <c r="D29" i="2"/>
  <c r="E28" i="2"/>
  <c r="D28" i="2"/>
  <c r="D16" i="1"/>
  <c r="F19" i="1"/>
  <c r="G22" i="1"/>
  <c r="E35" i="1"/>
  <c r="H35" i="1"/>
  <c r="D35" i="1"/>
  <c r="H64" i="1"/>
  <c r="F40" i="1"/>
  <c r="G47" i="1"/>
  <c r="H54" i="1"/>
  <c r="F54" i="1"/>
  <c r="D66" i="1"/>
  <c r="F66" i="1"/>
  <c r="E69" i="1"/>
  <c r="G72" i="1"/>
  <c r="G78" i="1"/>
  <c r="E80" i="1"/>
  <c r="D83" i="1"/>
  <c r="F86" i="1"/>
  <c r="F88" i="1"/>
  <c r="H92" i="1"/>
  <c r="G94" i="1"/>
  <c r="H96" i="1"/>
  <c r="E111" i="1"/>
  <c r="F113" i="1"/>
  <c r="G118" i="1"/>
  <c r="F123" i="1"/>
  <c r="E123" i="1"/>
  <c r="D123" i="1"/>
  <c r="G135" i="1"/>
  <c r="G123" i="1"/>
  <c r="D126" i="1"/>
  <c r="D131" i="1"/>
  <c r="H134" i="1"/>
  <c r="G134" i="1"/>
  <c r="F134" i="1"/>
  <c r="E135" i="1"/>
  <c r="G146" i="1"/>
  <c r="E134" i="1"/>
  <c r="E138" i="1"/>
  <c r="H138" i="1"/>
  <c r="G138" i="1"/>
  <c r="F138" i="1"/>
  <c r="D138" i="1"/>
  <c r="E139" i="1"/>
  <c r="E144" i="1"/>
  <c r="D162" i="1"/>
  <c r="H187" i="1"/>
  <c r="F187" i="1"/>
  <c r="E188" i="1"/>
  <c r="G187" i="1"/>
  <c r="E187" i="1"/>
  <c r="D187" i="1"/>
  <c r="H194" i="1"/>
  <c r="G194" i="1"/>
  <c r="H218" i="1"/>
  <c r="E194" i="1"/>
  <c r="G206" i="1"/>
  <c r="F194" i="1"/>
  <c r="D194" i="1"/>
  <c r="F221" i="1"/>
  <c r="H221" i="1"/>
  <c r="G221" i="1"/>
  <c r="E221" i="1"/>
  <c r="D221" i="1"/>
  <c r="E222" i="1"/>
  <c r="E96" i="1"/>
  <c r="D95" i="1"/>
  <c r="H107" i="1"/>
  <c r="G111" i="1"/>
  <c r="F115" i="1"/>
  <c r="H115" i="1"/>
  <c r="G115" i="1"/>
  <c r="D115" i="1"/>
  <c r="G119" i="1"/>
  <c r="F119" i="1"/>
  <c r="E120" i="1"/>
  <c r="D119" i="1"/>
  <c r="E199" i="1"/>
  <c r="E200" i="1"/>
  <c r="D199" i="1"/>
  <c r="H199" i="1"/>
  <c r="G199" i="1"/>
  <c r="G204" i="1"/>
  <c r="E205" i="1"/>
  <c r="H204" i="1"/>
  <c r="D206" i="1"/>
  <c r="G37" i="1"/>
  <c r="D42" i="1"/>
  <c r="H46" i="1"/>
  <c r="E51" i="1"/>
  <c r="D74" i="1"/>
  <c r="H78" i="1"/>
  <c r="E83" i="1"/>
  <c r="G92" i="1"/>
  <c r="F92" i="1"/>
  <c r="D92" i="1"/>
  <c r="H94" i="1"/>
  <c r="G95" i="1"/>
  <c r="D97" i="1"/>
  <c r="H97" i="1"/>
  <c r="G97" i="1"/>
  <c r="E97" i="1"/>
  <c r="H101" i="1"/>
  <c r="G101" i="1"/>
  <c r="F101" i="1"/>
  <c r="D101" i="1"/>
  <c r="G104" i="1"/>
  <c r="G116" i="1"/>
  <c r="F116" i="1"/>
  <c r="F139" i="1"/>
  <c r="H139" i="1"/>
  <c r="G139" i="1"/>
  <c r="F147" i="1"/>
  <c r="H147" i="1"/>
  <c r="G147" i="1"/>
  <c r="E147" i="1"/>
  <c r="D147" i="1"/>
  <c r="F204" i="1"/>
  <c r="G209" i="1"/>
  <c r="F209" i="1"/>
  <c r="E209" i="1"/>
  <c r="D209" i="1"/>
  <c r="H212" i="1"/>
  <c r="G212" i="1"/>
  <c r="F212" i="1"/>
  <c r="E212" i="1"/>
  <c r="G222" i="1"/>
  <c r="H222" i="1"/>
  <c r="E223" i="1"/>
  <c r="F222" i="1"/>
  <c r="D174" i="1"/>
  <c r="H174" i="1"/>
  <c r="G174" i="1"/>
  <c r="G196" i="1"/>
  <c r="H220" i="1"/>
  <c r="G208" i="1"/>
  <c r="H196" i="1"/>
  <c r="F196" i="1"/>
  <c r="E196" i="1"/>
  <c r="F27" i="2"/>
  <c r="E27" i="2"/>
  <c r="D27" i="2"/>
  <c r="F37" i="2"/>
  <c r="E37" i="2"/>
  <c r="D37" i="2"/>
  <c r="C37" i="2"/>
  <c r="F107" i="1"/>
  <c r="G107" i="1"/>
  <c r="H111" i="1"/>
  <c r="F111" i="1"/>
  <c r="G148" i="1"/>
  <c r="G160" i="1"/>
  <c r="H148" i="1"/>
  <c r="F148" i="1"/>
  <c r="G156" i="1"/>
  <c r="H156" i="1"/>
  <c r="F156" i="1"/>
  <c r="E156" i="1"/>
  <c r="D156" i="1"/>
  <c r="E167" i="1"/>
  <c r="H191" i="1"/>
  <c r="G179" i="1"/>
  <c r="H167" i="1"/>
  <c r="G167" i="1"/>
  <c r="F167" i="1"/>
  <c r="E174" i="1"/>
  <c r="E183" i="1"/>
  <c r="H183" i="1"/>
  <c r="G183" i="1"/>
  <c r="F183" i="1"/>
  <c r="D196" i="1"/>
  <c r="C27" i="2"/>
  <c r="H126" i="1"/>
  <c r="G144" i="1"/>
  <c r="H158" i="1"/>
  <c r="F163" i="1"/>
  <c r="F179" i="1"/>
  <c r="G188" i="1"/>
  <c r="E191" i="1"/>
  <c r="E192" i="1"/>
  <c r="D191" i="1"/>
  <c r="G201" i="1"/>
  <c r="F201" i="1"/>
  <c r="D201" i="1"/>
  <c r="H203" i="1"/>
  <c r="F203" i="1"/>
  <c r="H210" i="1"/>
  <c r="G210" i="1"/>
  <c r="F210" i="1"/>
  <c r="E210" i="1"/>
  <c r="D214" i="1"/>
  <c r="F23" i="2"/>
  <c r="E23" i="2"/>
  <c r="D23" i="2"/>
  <c r="D24" i="2"/>
  <c r="F32" i="2"/>
  <c r="F44" i="2"/>
  <c r="D33" i="2"/>
  <c r="F38" i="2"/>
  <c r="E38" i="2"/>
  <c r="D38" i="2"/>
  <c r="C38" i="2"/>
  <c r="D137" i="1"/>
  <c r="D166" i="1"/>
  <c r="E173" i="1"/>
  <c r="D182" i="1"/>
  <c r="D198" i="1"/>
  <c r="G216" i="1"/>
  <c r="F216" i="1"/>
  <c r="E216" i="1"/>
  <c r="D216" i="1"/>
  <c r="G120" i="1"/>
  <c r="D132" i="1"/>
  <c r="E137" i="1"/>
  <c r="D141" i="1"/>
  <c r="D146" i="1"/>
  <c r="D150" i="1"/>
  <c r="G152" i="1"/>
  <c r="D155" i="1"/>
  <c r="D159" i="1"/>
  <c r="E160" i="1"/>
  <c r="E166" i="1"/>
  <c r="F176" i="1"/>
  <c r="G169" i="1"/>
  <c r="D169" i="1"/>
  <c r="D172" i="1"/>
  <c r="F173" i="1"/>
  <c r="E175" i="1"/>
  <c r="E176" i="1"/>
  <c r="E182" i="1"/>
  <c r="G185" i="1"/>
  <c r="D185" i="1"/>
  <c r="F200" i="1"/>
  <c r="G193" i="1"/>
  <c r="F193" i="1"/>
  <c r="D193" i="1"/>
  <c r="H195" i="1"/>
  <c r="F195" i="1"/>
  <c r="H216" i="1"/>
  <c r="F99" i="1"/>
  <c r="D113" i="1"/>
  <c r="H117" i="1"/>
  <c r="E122" i="1"/>
  <c r="F131" i="1"/>
  <c r="E132" i="1"/>
  <c r="F137" i="1"/>
  <c r="E141" i="1"/>
  <c r="D145" i="1"/>
  <c r="F146" i="1"/>
  <c r="H149" i="1"/>
  <c r="E150" i="1"/>
  <c r="E154" i="1"/>
  <c r="E155" i="1"/>
  <c r="H162" i="1"/>
  <c r="E162" i="1"/>
  <c r="H165" i="1"/>
  <c r="F166" i="1"/>
  <c r="E169" i="1"/>
  <c r="E172" i="1"/>
  <c r="D175" i="1"/>
  <c r="H178" i="1"/>
  <c r="E178" i="1"/>
  <c r="F182" i="1"/>
  <c r="E185" i="1"/>
  <c r="D190" i="1"/>
  <c r="E193" i="1"/>
  <c r="D195" i="1"/>
  <c r="F198" i="1"/>
  <c r="H206" i="1"/>
  <c r="H211" i="1"/>
  <c r="G211" i="1"/>
  <c r="F211" i="1"/>
  <c r="H217" i="1"/>
  <c r="G217" i="1"/>
  <c r="F217" i="1"/>
  <c r="F223" i="1"/>
  <c r="F40" i="2"/>
  <c r="D41" i="2"/>
  <c r="E40" i="2"/>
  <c r="H181" i="1"/>
  <c r="H205" i="1"/>
  <c r="G218" i="1"/>
  <c r="E11" i="2"/>
  <c r="D11" i="2"/>
  <c r="C11" i="2"/>
  <c r="E14" i="2"/>
  <c r="D14" i="2"/>
  <c r="F24" i="2"/>
  <c r="H215" i="1"/>
  <c r="E9" i="2"/>
  <c r="E19" i="2"/>
  <c r="D19" i="2"/>
  <c r="C19" i="2"/>
  <c r="F21" i="2"/>
  <c r="D207" i="1"/>
  <c r="E208" i="1"/>
  <c r="D215" i="1"/>
  <c r="D220" i="1"/>
  <c r="H223" i="1"/>
  <c r="C9" i="2"/>
  <c r="C12" i="2"/>
  <c r="E26" i="2"/>
  <c r="E17" i="2"/>
  <c r="F20" i="2"/>
  <c r="F31" i="2"/>
  <c r="E31" i="2"/>
  <c r="D31" i="2"/>
  <c r="F39" i="2"/>
  <c r="E39" i="2"/>
  <c r="F184" i="1"/>
  <c r="F192" i="1"/>
  <c r="F208" i="1"/>
  <c r="E215" i="1"/>
  <c r="D219" i="1"/>
  <c r="F220" i="1"/>
  <c r="D9" i="2"/>
  <c r="D12" i="2"/>
  <c r="C17" i="2"/>
  <c r="C20" i="2"/>
  <c r="E22" i="2"/>
  <c r="E24" i="2"/>
  <c r="C31" i="2"/>
  <c r="C39" i="2"/>
  <c r="C16" i="2"/>
  <c r="C22" i="2"/>
  <c r="C26" i="2"/>
  <c r="C30" i="2"/>
  <c r="C36" i="2"/>
  <c r="C44" i="2"/>
  <c r="C13" i="2"/>
  <c r="D22" i="2"/>
  <c r="D26" i="2"/>
  <c r="D30" i="2"/>
  <c r="C35" i="2"/>
  <c r="D36" i="2"/>
  <c r="C43" i="2"/>
  <c r="D44" i="2"/>
  <c r="C29" i="2"/>
  <c r="E30" i="2"/>
  <c r="G81" i="2" l="1"/>
  <c r="G80" i="2"/>
  <c r="G79" i="2"/>
  <c r="G78" i="2"/>
  <c r="G77" i="2"/>
  <c r="H5" i="6"/>
  <c r="G76" i="2"/>
  <c r="G75" i="2"/>
  <c r="G74" i="2"/>
  <c r="G73" i="2"/>
  <c r="G72" i="2"/>
  <c r="G70" i="2"/>
  <c r="G71" i="2"/>
  <c r="G68" i="2"/>
  <c r="G69" i="2"/>
  <c r="G67" i="2"/>
  <c r="G65" i="2"/>
  <c r="G66" i="2"/>
  <c r="G64" i="2"/>
  <c r="G63" i="2"/>
  <c r="G62" i="2"/>
  <c r="G58" i="2"/>
  <c r="G61" i="2"/>
  <c r="G59" i="2"/>
  <c r="G60" i="2"/>
  <c r="G57" i="2"/>
  <c r="G56" i="2"/>
  <c r="G55" i="2"/>
  <c r="G54" i="2"/>
  <c r="G50" i="2"/>
  <c r="G53" i="2"/>
  <c r="G51" i="2"/>
  <c r="G52" i="2"/>
  <c r="G32" i="2"/>
  <c r="G47" i="2"/>
  <c r="G48" i="2"/>
  <c r="G49" i="2"/>
  <c r="G45" i="2"/>
  <c r="G46" i="2"/>
  <c r="G34" i="2"/>
  <c r="G41" i="2"/>
  <c r="G39" i="2"/>
  <c r="G42" i="2"/>
  <c r="G33" i="2"/>
  <c r="G40" i="2"/>
  <c r="G38" i="2"/>
  <c r="G43" i="2"/>
  <c r="G44" i="2"/>
  <c r="G36" i="2"/>
  <c r="G35" i="2"/>
  <c r="G37" i="2"/>
  <c r="D227" i="1" l="1"/>
  <c r="F227" i="1"/>
  <c r="H227" i="1"/>
  <c r="G224" i="1"/>
  <c r="F224" i="1"/>
  <c r="D224" i="1"/>
  <c r="E224" i="1"/>
  <c r="H224" i="1"/>
  <c r="H226" i="1"/>
  <c r="F226" i="1"/>
  <c r="D226" i="1"/>
  <c r="G226" i="1"/>
  <c r="G227" i="1"/>
  <c r="E227" i="1"/>
  <c r="E226" i="1" l="1"/>
  <c r="D225" i="1"/>
  <c r="G225" i="1"/>
  <c r="E225" i="1"/>
  <c r="F225" i="1"/>
  <c r="H225" i="1"/>
  <c r="D229" i="1"/>
  <c r="F229" i="1"/>
  <c r="H229" i="1"/>
  <c r="E229" i="1"/>
  <c r="G229" i="1"/>
  <c r="E228" i="1"/>
  <c r="H228" i="1"/>
  <c r="D228" i="1"/>
  <c r="F228" i="1"/>
  <c r="G228" i="1"/>
  <c r="C288" i="1" l="1"/>
  <c r="I288" i="1" s="1"/>
  <c r="E289" i="1" l="1"/>
  <c r="D288" i="1"/>
  <c r="C287" i="1" l="1"/>
  <c r="I287" i="1" s="1"/>
  <c r="C286" i="1"/>
  <c r="I286" i="1" s="1"/>
  <c r="D287" i="1" l="1"/>
  <c r="E287" i="1"/>
  <c r="E288" i="1"/>
  <c r="D286" i="1"/>
  <c r="C285" i="1" l="1"/>
  <c r="I285" i="1" s="1"/>
  <c r="D285" i="1" l="1"/>
  <c r="E286" i="1"/>
  <c r="C283" i="1" l="1"/>
  <c r="I283" i="1" s="1"/>
  <c r="D283" i="1" l="1"/>
  <c r="C282" i="1"/>
  <c r="I282" i="1" s="1"/>
  <c r="E283" i="1" l="1"/>
  <c r="D282" i="1"/>
  <c r="C281" i="1"/>
  <c r="I281" i="1" l="1"/>
  <c r="G293" i="1"/>
  <c r="D281" i="1"/>
  <c r="E282" i="1"/>
  <c r="C280" i="1"/>
  <c r="I280" i="1" s="1"/>
  <c r="G292" i="1" l="1"/>
  <c r="D280" i="1"/>
  <c r="E281" i="1"/>
  <c r="C279" i="1" l="1"/>
  <c r="I279" i="1" s="1"/>
  <c r="G291" i="1" l="1"/>
  <c r="D279" i="1"/>
  <c r="E280" i="1"/>
  <c r="C278" i="1"/>
  <c r="I278" i="1" s="1"/>
  <c r="E279" i="1" l="1"/>
  <c r="G290" i="1"/>
  <c r="D278" i="1"/>
  <c r="C277" i="1" l="1"/>
  <c r="I277" i="1" l="1"/>
  <c r="F293" i="1"/>
  <c r="F291" i="1"/>
  <c r="F292" i="1"/>
  <c r="F290" i="1"/>
  <c r="G289" i="1"/>
  <c r="F289" i="1"/>
  <c r="D277" i="1"/>
  <c r="F288" i="1"/>
  <c r="F287" i="1"/>
  <c r="F286" i="1"/>
  <c r="F285" i="1"/>
  <c r="F283" i="1"/>
  <c r="F282" i="1"/>
  <c r="F281" i="1"/>
  <c r="F280" i="1"/>
  <c r="F279" i="1"/>
  <c r="F278" i="1"/>
  <c r="E278" i="1"/>
  <c r="C276" i="1"/>
  <c r="I276" i="1" s="1"/>
  <c r="E277" i="1" l="1"/>
  <c r="D276" i="1"/>
  <c r="G288" i="1"/>
  <c r="C275" i="1"/>
  <c r="I275" i="1" s="1"/>
  <c r="E276" i="1" l="1"/>
  <c r="D275" i="1"/>
  <c r="G287" i="1"/>
  <c r="C274" i="1"/>
  <c r="I274" i="1" s="1"/>
  <c r="D274" i="1" l="1"/>
  <c r="G286" i="1"/>
  <c r="E275" i="1"/>
  <c r="C273" i="1"/>
  <c r="I273" i="1" s="1"/>
  <c r="D273" i="1" l="1"/>
  <c r="G285" i="1"/>
  <c r="E274" i="1"/>
  <c r="C272" i="1" l="1"/>
  <c r="I272" i="1" s="1"/>
  <c r="D272" i="1" l="1"/>
  <c r="E273" i="1"/>
  <c r="C271" i="1" l="1"/>
  <c r="I271" i="1" s="1"/>
  <c r="D271" i="1" l="1"/>
  <c r="G283" i="1"/>
  <c r="E272" i="1"/>
  <c r="C270" i="1" l="1"/>
  <c r="I270" i="1" s="1"/>
  <c r="D270" i="1" l="1"/>
  <c r="G282" i="1"/>
  <c r="E271" i="1"/>
  <c r="C269" i="1"/>
  <c r="H293" i="1" l="1"/>
  <c r="I269" i="1"/>
  <c r="E270" i="1"/>
  <c r="D269" i="1"/>
  <c r="G281" i="1"/>
  <c r="C268" i="1" l="1"/>
  <c r="I268" i="1" s="1"/>
  <c r="H292" i="1" l="1"/>
  <c r="D268" i="1"/>
  <c r="G280" i="1"/>
  <c r="E269" i="1"/>
  <c r="C267" i="1" l="1"/>
  <c r="I267" i="1" s="1"/>
  <c r="H291" i="1" l="1"/>
  <c r="D267" i="1"/>
  <c r="G279" i="1"/>
  <c r="E268" i="1"/>
  <c r="C266" i="1" l="1"/>
  <c r="I266" i="1" s="1"/>
  <c r="H290" i="1" l="1"/>
  <c r="D266" i="1"/>
  <c r="G278" i="1"/>
  <c r="E267" i="1"/>
  <c r="C265" i="1"/>
  <c r="I265" i="1" s="1"/>
  <c r="F266" i="1" l="1"/>
  <c r="H289" i="1"/>
  <c r="E266" i="1"/>
  <c r="D265" i="1"/>
  <c r="F277" i="1"/>
  <c r="G277" i="1"/>
  <c r="F276" i="1"/>
  <c r="F275" i="1"/>
  <c r="F274" i="1"/>
  <c r="F273" i="1"/>
  <c r="F272" i="1"/>
  <c r="F271" i="1"/>
  <c r="F270" i="1"/>
  <c r="F269" i="1"/>
  <c r="F268" i="1"/>
  <c r="F267" i="1"/>
  <c r="C264" i="1" l="1"/>
  <c r="I264" i="1" s="1"/>
  <c r="D264" i="1" l="1"/>
  <c r="D12" i="6" s="1"/>
  <c r="H288" i="1"/>
  <c r="G276" i="1"/>
  <c r="E265" i="1"/>
  <c r="C263" i="1"/>
  <c r="I263" i="1" s="1"/>
  <c r="C262" i="1"/>
  <c r="I262" i="1" s="1"/>
  <c r="C261" i="1"/>
  <c r="I261" i="1" s="1"/>
  <c r="C260" i="1"/>
  <c r="I260" i="1" s="1"/>
  <c r="C259" i="1"/>
  <c r="I259" i="1" s="1"/>
  <c r="C258" i="1"/>
  <c r="I258" i="1" s="1"/>
  <c r="C257" i="1"/>
  <c r="I257" i="1" s="1"/>
  <c r="C256" i="1"/>
  <c r="I256" i="1" s="1"/>
  <c r="C255" i="1"/>
  <c r="I255" i="1" s="1"/>
  <c r="C254" i="1"/>
  <c r="I254" i="1" s="1"/>
  <c r="C253" i="1"/>
  <c r="I253" i="1" s="1"/>
  <c r="C252" i="1"/>
  <c r="I252" i="1" s="1"/>
  <c r="C251" i="1"/>
  <c r="I251" i="1" s="1"/>
  <c r="C250" i="1"/>
  <c r="I250" i="1" s="1"/>
  <c r="C249" i="1"/>
  <c r="I249" i="1" s="1"/>
  <c r="C248" i="1"/>
  <c r="I248" i="1" s="1"/>
  <c r="C247" i="1"/>
  <c r="I247" i="1" s="1"/>
  <c r="C246" i="1"/>
  <c r="I246" i="1" s="1"/>
  <c r="C245" i="1"/>
  <c r="I245" i="1" s="1"/>
  <c r="C244" i="1"/>
  <c r="I244" i="1" s="1"/>
  <c r="C243" i="1"/>
  <c r="I243" i="1" s="1"/>
  <c r="C242" i="1"/>
  <c r="I242" i="1" s="1"/>
  <c r="C241" i="1"/>
  <c r="I241" i="1" s="1"/>
  <c r="C240" i="1"/>
  <c r="I240" i="1" s="1"/>
  <c r="C239" i="1"/>
  <c r="I239" i="1" s="1"/>
  <c r="C238" i="1"/>
  <c r="I238" i="1" s="1"/>
  <c r="C237" i="1"/>
  <c r="I237" i="1" s="1"/>
  <c r="C236" i="1"/>
  <c r="I236" i="1" s="1"/>
  <c r="C235" i="1"/>
  <c r="I235" i="1" s="1"/>
  <c r="C234" i="1"/>
  <c r="I234" i="1" s="1"/>
  <c r="C233" i="1"/>
  <c r="I233" i="1" s="1"/>
  <c r="C232" i="1"/>
  <c r="I232" i="1" s="1"/>
  <c r="C231" i="1"/>
  <c r="I231" i="1" s="1"/>
  <c r="C230" i="1"/>
  <c r="I230" i="1" s="1"/>
  <c r="E264" i="1" l="1"/>
  <c r="G264" i="1"/>
  <c r="F264" i="1"/>
  <c r="D230" i="1"/>
  <c r="G230" i="1"/>
  <c r="E230" i="1"/>
  <c r="F230" i="1"/>
  <c r="H230" i="1"/>
  <c r="D242" i="1"/>
  <c r="G242" i="1"/>
  <c r="H242" i="1"/>
  <c r="F242" i="1"/>
  <c r="E242" i="1"/>
  <c r="H266" i="1"/>
  <c r="E250" i="1"/>
  <c r="H250" i="1"/>
  <c r="F250" i="1"/>
  <c r="G250" i="1"/>
  <c r="D250" i="1"/>
  <c r="H274" i="1"/>
  <c r="H254" i="1"/>
  <c r="G254" i="1"/>
  <c r="E254" i="1"/>
  <c r="D254" i="1"/>
  <c r="F254" i="1"/>
  <c r="H278" i="1"/>
  <c r="G266" i="1"/>
  <c r="D258" i="1"/>
  <c r="F258" i="1"/>
  <c r="E258" i="1"/>
  <c r="H258" i="1"/>
  <c r="G258" i="1"/>
  <c r="H282" i="1"/>
  <c r="G270" i="1"/>
  <c r="H262" i="1"/>
  <c r="D262" i="1"/>
  <c r="E262" i="1"/>
  <c r="F262" i="1"/>
  <c r="G262" i="1"/>
  <c r="H286" i="1"/>
  <c r="G274" i="1"/>
  <c r="D238" i="1"/>
  <c r="F238" i="1"/>
  <c r="H238" i="1"/>
  <c r="G238" i="1"/>
  <c r="E238" i="1"/>
  <c r="H246" i="1"/>
  <c r="G246" i="1"/>
  <c r="F246" i="1"/>
  <c r="D246" i="1"/>
  <c r="E246" i="1"/>
  <c r="H270" i="1"/>
  <c r="D231" i="1"/>
  <c r="E231" i="1"/>
  <c r="H231" i="1"/>
  <c r="F231" i="1"/>
  <c r="G231" i="1"/>
  <c r="E235" i="1"/>
  <c r="F235" i="1"/>
  <c r="H235" i="1"/>
  <c r="G235" i="1"/>
  <c r="D235" i="1"/>
  <c r="G239" i="1"/>
  <c r="D239" i="1"/>
  <c r="F239" i="1"/>
  <c r="E239" i="1"/>
  <c r="H239" i="1"/>
  <c r="D243" i="1"/>
  <c r="E243" i="1"/>
  <c r="H243" i="1"/>
  <c r="F243" i="1"/>
  <c r="G243" i="1"/>
  <c r="H267" i="1"/>
  <c r="F247" i="1"/>
  <c r="E247" i="1"/>
  <c r="H247" i="1"/>
  <c r="G247" i="1"/>
  <c r="D247" i="1"/>
  <c r="H271" i="1"/>
  <c r="F251" i="1"/>
  <c r="H251" i="1"/>
  <c r="G251" i="1"/>
  <c r="E251" i="1"/>
  <c r="D251" i="1"/>
  <c r="H275" i="1"/>
  <c r="H255" i="1"/>
  <c r="D255" i="1"/>
  <c r="F255" i="1"/>
  <c r="E255" i="1"/>
  <c r="G255" i="1"/>
  <c r="H279" i="1"/>
  <c r="G267" i="1"/>
  <c r="E259" i="1"/>
  <c r="H259" i="1"/>
  <c r="G259" i="1"/>
  <c r="D259" i="1"/>
  <c r="F259" i="1"/>
  <c r="H283" i="1"/>
  <c r="G271" i="1"/>
  <c r="E263" i="1"/>
  <c r="F263" i="1"/>
  <c r="D263" i="1"/>
  <c r="G263" i="1"/>
  <c r="H263" i="1"/>
  <c r="H287" i="1"/>
  <c r="G275" i="1"/>
  <c r="G232" i="1"/>
  <c r="E232" i="1"/>
  <c r="H232" i="1"/>
  <c r="F232" i="1"/>
  <c r="D232" i="1"/>
  <c r="D236" i="1"/>
  <c r="E236" i="1"/>
  <c r="H236" i="1"/>
  <c r="F236" i="1"/>
  <c r="G236" i="1"/>
  <c r="F240" i="1"/>
  <c r="G240" i="1"/>
  <c r="E240" i="1"/>
  <c r="D240" i="1"/>
  <c r="H240" i="1"/>
  <c r="D244" i="1"/>
  <c r="G244" i="1"/>
  <c r="F244" i="1"/>
  <c r="H244" i="1"/>
  <c r="E244" i="1"/>
  <c r="H268" i="1"/>
  <c r="F248" i="1"/>
  <c r="E248" i="1"/>
  <c r="G248" i="1"/>
  <c r="H248" i="1"/>
  <c r="D248" i="1"/>
  <c r="H272" i="1"/>
  <c r="F252" i="1"/>
  <c r="G252" i="1"/>
  <c r="D252" i="1"/>
  <c r="E252" i="1"/>
  <c r="H252" i="1"/>
  <c r="H276" i="1"/>
  <c r="F256" i="1"/>
  <c r="G256" i="1"/>
  <c r="E256" i="1"/>
  <c r="H256" i="1"/>
  <c r="D256" i="1"/>
  <c r="H280" i="1"/>
  <c r="G268" i="1"/>
  <c r="H260" i="1"/>
  <c r="F260" i="1"/>
  <c r="D260" i="1"/>
  <c r="E260" i="1"/>
  <c r="G260" i="1"/>
  <c r="G272" i="1"/>
  <c r="G234" i="1"/>
  <c r="D234" i="1"/>
  <c r="H234" i="1"/>
  <c r="E234" i="1"/>
  <c r="F234" i="1"/>
  <c r="D233" i="1"/>
  <c r="H233" i="1"/>
  <c r="F233" i="1"/>
  <c r="E233" i="1"/>
  <c r="G233" i="1"/>
  <c r="G237" i="1"/>
  <c r="H237" i="1"/>
  <c r="F237" i="1"/>
  <c r="E237" i="1"/>
  <c r="D237" i="1"/>
  <c r="E241" i="1"/>
  <c r="H241" i="1"/>
  <c r="F241" i="1"/>
  <c r="G241" i="1"/>
  <c r="D241" i="1"/>
  <c r="H265" i="1"/>
  <c r="F245" i="1"/>
  <c r="E245" i="1"/>
  <c r="D245" i="1"/>
  <c r="H245" i="1"/>
  <c r="G245" i="1"/>
  <c r="H269" i="1"/>
  <c r="E249" i="1"/>
  <c r="F249" i="1"/>
  <c r="H249" i="1"/>
  <c r="G249" i="1"/>
  <c r="D249" i="1"/>
  <c r="H273" i="1"/>
  <c r="D253" i="1"/>
  <c r="E253" i="1"/>
  <c r="F253" i="1"/>
  <c r="H253" i="1"/>
  <c r="G253" i="1"/>
  <c r="H277" i="1"/>
  <c r="F265" i="1"/>
  <c r="G265" i="1"/>
  <c r="D257" i="1"/>
  <c r="G257" i="1"/>
  <c r="H257" i="1"/>
  <c r="F257" i="1"/>
  <c r="E257" i="1"/>
  <c r="H281" i="1"/>
  <c r="G269" i="1"/>
  <c r="D261" i="1"/>
  <c r="E261" i="1"/>
  <c r="H261" i="1"/>
  <c r="G261" i="1"/>
  <c r="F261" i="1"/>
  <c r="H285" i="1"/>
  <c r="G273" i="1"/>
  <c r="H264" i="1"/>
  <c r="C284" i="1" l="1"/>
  <c r="I284" i="1" s="1"/>
  <c r="E284" i="1" l="1"/>
  <c r="G284" i="1"/>
  <c r="H284" i="1"/>
  <c r="D284" i="1"/>
  <c r="F284" i="1"/>
  <c r="E285" i="1"/>
</calcChain>
</file>

<file path=xl/sharedStrings.xml><?xml version="1.0" encoding="utf-8"?>
<sst xmlns="http://schemas.openxmlformats.org/spreadsheetml/2006/main" count="822" uniqueCount="312">
  <si>
    <t xml:space="preserve">      EVOLUÇÃO DOS INSUMOS DO TRANSPORTE DE CARGA FRACIONADA</t>
  </si>
  <si>
    <t>EVOLUÇÃO DOS INSUMOS DO TRANSPORTE DE CARGA FRACIONADA</t>
  </si>
  <si>
    <t>Diesel Comum</t>
  </si>
  <si>
    <t>Base: Jul/94 = 100</t>
  </si>
  <si>
    <t>SÉRIE HISTÓRICA</t>
  </si>
  <si>
    <t>VARIAÇÃO (%)</t>
  </si>
  <si>
    <t>Fator de atualização</t>
  </si>
  <si>
    <t>Mês</t>
  </si>
  <si>
    <t>R$/litro</t>
  </si>
  <si>
    <t>Índice</t>
  </si>
  <si>
    <t>Mês %</t>
  </si>
  <si>
    <t>Ano %</t>
  </si>
  <si>
    <t>12 m  %</t>
  </si>
  <si>
    <t>24 m %</t>
  </si>
  <si>
    <t>Fonte: NTC/DECOPE</t>
  </si>
  <si>
    <t>JULHO|94</t>
  </si>
  <si>
    <t>AGOSTO|94</t>
  </si>
  <si>
    <t>SETEMBRO|94</t>
  </si>
  <si>
    <t>OUTUBRO|94</t>
  </si>
  <si>
    <t>NOVEMBRO|94</t>
  </si>
  <si>
    <t>DEZEMBRO|94</t>
  </si>
  <si>
    <t>JANEIRO|95</t>
  </si>
  <si>
    <t>FEVEREIRO|95</t>
  </si>
  <si>
    <t>MARÇO|95</t>
  </si>
  <si>
    <t>ABRIL|95</t>
  </si>
  <si>
    <t>MAIO|95</t>
  </si>
  <si>
    <t>JUNHO|95</t>
  </si>
  <si>
    <t>JULHO|95</t>
  </si>
  <si>
    <t>AGOSTO|95</t>
  </si>
  <si>
    <t>SETEMBRO|95</t>
  </si>
  <si>
    <t>OUTUBRO|95</t>
  </si>
  <si>
    <t>NOVEMBRO|95</t>
  </si>
  <si>
    <t>DEZEMBRO|95</t>
  </si>
  <si>
    <t>JANEIRO|96</t>
  </si>
  <si>
    <t>FEVEREIRO|96</t>
  </si>
  <si>
    <t>MARÇO|96</t>
  </si>
  <si>
    <t>ABRIL|96</t>
  </si>
  <si>
    <t>MAIO|96</t>
  </si>
  <si>
    <t>JUNHO|96</t>
  </si>
  <si>
    <t>JULHO|96</t>
  </si>
  <si>
    <t>AGOSTO|96</t>
  </si>
  <si>
    <t>SETEMBRO|96</t>
  </si>
  <si>
    <t>OUTUBRO|96</t>
  </si>
  <si>
    <t>NOVEMBRO|96</t>
  </si>
  <si>
    <t>DEZEMBRO|96</t>
  </si>
  <si>
    <t>JANEIRO|97</t>
  </si>
  <si>
    <t>FEVEREIRO|97</t>
  </si>
  <si>
    <t>MARÇO|97</t>
  </si>
  <si>
    <t>ABRIL|97</t>
  </si>
  <si>
    <t>MAIO|97</t>
  </si>
  <si>
    <t>JUNHO|97</t>
  </si>
  <si>
    <t>JULHO|97</t>
  </si>
  <si>
    <t>AGOSTO|97</t>
  </si>
  <si>
    <t>SETEMBRO|97</t>
  </si>
  <si>
    <t>OUTUBRO|97</t>
  </si>
  <si>
    <t>NOVEMBRO|97</t>
  </si>
  <si>
    <t>DEZEMBRO|97</t>
  </si>
  <si>
    <t>JANEIRO|98</t>
  </si>
  <si>
    <t>FEVEREIRO|98</t>
  </si>
  <si>
    <t>MARÇO|98</t>
  </si>
  <si>
    <t>ABRIL|98</t>
  </si>
  <si>
    <t>MAIO|98</t>
  </si>
  <si>
    <t>JUNHO|98</t>
  </si>
  <si>
    <t>JULHO|98</t>
  </si>
  <si>
    <t>AGOSTO|98</t>
  </si>
  <si>
    <t>SETEMBRO|98</t>
  </si>
  <si>
    <t>OUTUBRO|98</t>
  </si>
  <si>
    <t>NOVEMBRO|98</t>
  </si>
  <si>
    <t>DEZEMBRO|98</t>
  </si>
  <si>
    <t>JANEIRO|99</t>
  </si>
  <si>
    <t>FEVEREIRO|99</t>
  </si>
  <si>
    <t>MARÇO|99</t>
  </si>
  <si>
    <t>ABRIL|99</t>
  </si>
  <si>
    <t>MAIO|99</t>
  </si>
  <si>
    <t>JUNHO|99</t>
  </si>
  <si>
    <t>JULHO|99</t>
  </si>
  <si>
    <t>AGOSTO|99</t>
  </si>
  <si>
    <t>SETEMBRO|99</t>
  </si>
  <si>
    <t>OUTUBRO|99</t>
  </si>
  <si>
    <t>NOVEMBRO|99</t>
  </si>
  <si>
    <t>DEZEMBRO|99</t>
  </si>
  <si>
    <t>JANEIRO|00</t>
  </si>
  <si>
    <t>FEVEREIRO|00</t>
  </si>
  <si>
    <t>MARÇO|00</t>
  </si>
  <si>
    <t>ABRIL|00</t>
  </si>
  <si>
    <t>MAIO|00</t>
  </si>
  <si>
    <t>JUNHO|00</t>
  </si>
  <si>
    <t>JULHO|00</t>
  </si>
  <si>
    <t>AGOSTO|00</t>
  </si>
  <si>
    <t>SETEMBRO|00</t>
  </si>
  <si>
    <t>OUTUBRO|00</t>
  </si>
  <si>
    <t>NOVEMBRO|00</t>
  </si>
  <si>
    <t>DEZEMBRO|00</t>
  </si>
  <si>
    <t>JANEIRO|01</t>
  </si>
  <si>
    <t>FEVEREIRO|01</t>
  </si>
  <si>
    <t>MARÇO|01</t>
  </si>
  <si>
    <t>ABRIL|01</t>
  </si>
  <si>
    <t>MAIO|01</t>
  </si>
  <si>
    <t>JUNHO|01</t>
  </si>
  <si>
    <t>JULHO|01</t>
  </si>
  <si>
    <t>AGOSTO|01</t>
  </si>
  <si>
    <t>SETEMBRO|01</t>
  </si>
  <si>
    <t>OUTUBRO|01</t>
  </si>
  <si>
    <t>NOVEMBRO|01</t>
  </si>
  <si>
    <t>DEZEMBRO|01</t>
  </si>
  <si>
    <t>JANEIRO|02</t>
  </si>
  <si>
    <t>FEVEREIRO|02</t>
  </si>
  <si>
    <t>MARÇO|02</t>
  </si>
  <si>
    <t>ABRIL|02</t>
  </si>
  <si>
    <t>MAIO|02</t>
  </si>
  <si>
    <t>JUNHO|02</t>
  </si>
  <si>
    <t>JULHO|02</t>
  </si>
  <si>
    <t>AGOSTO|02</t>
  </si>
  <si>
    <t>SETEMBRO|02</t>
  </si>
  <si>
    <t>OUTUBRO|02</t>
  </si>
  <si>
    <t>NOVEMBRO|02</t>
  </si>
  <si>
    <t>DEZEMBRO|02</t>
  </si>
  <si>
    <t>JANEIRO|03</t>
  </si>
  <si>
    <t>FEVEREIRO|03</t>
  </si>
  <si>
    <t>MARÇO|03</t>
  </si>
  <si>
    <t>ABRIL|03</t>
  </si>
  <si>
    <t>MAIO|03</t>
  </si>
  <si>
    <t>JUNHO|03</t>
  </si>
  <si>
    <t>JULHO|03</t>
  </si>
  <si>
    <t>AGOSTO|03</t>
  </si>
  <si>
    <t>SETEMBRO|03</t>
  </si>
  <si>
    <t>OUTUBRO|03</t>
  </si>
  <si>
    <t>NOVEMBRO|03</t>
  </si>
  <si>
    <t>DEZEMBRO|03</t>
  </si>
  <si>
    <t>JANEIRO|04</t>
  </si>
  <si>
    <t>FEVEREIRO|04</t>
  </si>
  <si>
    <t>MARÇO|04</t>
  </si>
  <si>
    <t>ABRIL|04</t>
  </si>
  <si>
    <t>MAIO|04</t>
  </si>
  <si>
    <t>JUNHO|04</t>
  </si>
  <si>
    <t>aumento</t>
  </si>
  <si>
    <t>JULHO|04</t>
  </si>
  <si>
    <t>AGOSTO|04</t>
  </si>
  <si>
    <t>SETEMBRO|04</t>
  </si>
  <si>
    <t>OUTUBRO|04</t>
  </si>
  <si>
    <t>NOVEMBRO|04</t>
  </si>
  <si>
    <t>DEZEMBRO|04</t>
  </si>
  <si>
    <t>JANEIRO|05</t>
  </si>
  <si>
    <t>FEVEREIRO|05</t>
  </si>
  <si>
    <t>MARÇO|05</t>
  </si>
  <si>
    <t>ABRIL|05</t>
  </si>
  <si>
    <t>MAIO|05</t>
  </si>
  <si>
    <t>equiparação</t>
  </si>
  <si>
    <t>JUNHO|05</t>
  </si>
  <si>
    <t>JULHO|05</t>
  </si>
  <si>
    <t>AGOSTO|05</t>
  </si>
  <si>
    <t>SETEMBRO|05</t>
  </si>
  <si>
    <t>OUTUBRO|05</t>
  </si>
  <si>
    <t>NOVEMBRO|05</t>
  </si>
  <si>
    <t>DEZEMBRO|05</t>
  </si>
  <si>
    <t>JANEIRO|06</t>
  </si>
  <si>
    <t>FEVEREIRO|06</t>
  </si>
  <si>
    <t>MARÇO|06</t>
  </si>
  <si>
    <t>ABRIL|06</t>
  </si>
  <si>
    <t>MAIO|06</t>
  </si>
  <si>
    <t>JUNHO|06</t>
  </si>
  <si>
    <t>JULHO|06</t>
  </si>
  <si>
    <t>AGOSTO|06</t>
  </si>
  <si>
    <t>SETEMBRO|06</t>
  </si>
  <si>
    <t>OUTUBRO|06</t>
  </si>
  <si>
    <t>NOVEMBRO|06</t>
  </si>
  <si>
    <t>DEZEMBRO|06</t>
  </si>
  <si>
    <t>JANEIRO|07</t>
  </si>
  <si>
    <t>FEVEREIRO|07</t>
  </si>
  <si>
    <t>MARÇO|07</t>
  </si>
  <si>
    <t>ABRIL|07</t>
  </si>
  <si>
    <t>MAIO|07</t>
  </si>
  <si>
    <t>JUNHO|07</t>
  </si>
  <si>
    <t>JULHO|07</t>
  </si>
  <si>
    <t>Fonte: DECOPE/NTC *</t>
  </si>
  <si>
    <t>AGOSTO|07</t>
  </si>
  <si>
    <t>SETEMBRO|07</t>
  </si>
  <si>
    <t>OUTUBRO|07</t>
  </si>
  <si>
    <t>NOVEMBRO|07</t>
  </si>
  <si>
    <t>DEZEMBRO|07</t>
  </si>
  <si>
    <t>JANEIRO|08</t>
  </si>
  <si>
    <t>FEVEREIRO|08</t>
  </si>
  <si>
    <t>MARÇO|08</t>
  </si>
  <si>
    <t>ABRIL|08</t>
  </si>
  <si>
    <t>AUMENTO DO DIESEL EM 15% NAS REFINARIAS</t>
  </si>
  <si>
    <t>MAIO|08</t>
  </si>
  <si>
    <t>JUNHO|08</t>
  </si>
  <si>
    <t>JULHO|08</t>
  </si>
  <si>
    <t>AGOSTO|08</t>
  </si>
  <si>
    <t>SETEMBRO|08</t>
  </si>
  <si>
    <t>OUTUBRO|08</t>
  </si>
  <si>
    <t>NOVEMBRO|08</t>
  </si>
  <si>
    <t>DEZEMBRO|08</t>
  </si>
  <si>
    <t>JANEIRO|09</t>
  </si>
  <si>
    <t>FEVEREIRO|09</t>
  </si>
  <si>
    <t>MARÇO|09</t>
  </si>
  <si>
    <t>ABRIL|09</t>
  </si>
  <si>
    <t>MAIO|09</t>
  </si>
  <si>
    <t>JUNHO|09</t>
  </si>
  <si>
    <t>REDUÇÃO DE 15% NO DIESEL NAS REFINARIAS</t>
  </si>
  <si>
    <t>JULHO|09</t>
  </si>
  <si>
    <t>AGOSTO|09</t>
  </si>
  <si>
    <t>SETEMBRO|09</t>
  </si>
  <si>
    <t>OUTUBRO|09</t>
  </si>
  <si>
    <t>NOVEMBRO|09</t>
  </si>
  <si>
    <t>DEZEMBRO|09</t>
  </si>
  <si>
    <t>JANEIRO|10</t>
  </si>
  <si>
    <t>FEVEREIRO|10</t>
  </si>
  <si>
    <t>MARÇO|10</t>
  </si>
  <si>
    <t>ABRIL|10</t>
  </si>
  <si>
    <t>MAIO|10</t>
  </si>
  <si>
    <t>JUNHO|10</t>
  </si>
  <si>
    <t>JULHO|10</t>
  </si>
  <si>
    <t>AGOSTO|10</t>
  </si>
  <si>
    <t>SETEMBRO|10</t>
  </si>
  <si>
    <t>OUTUBRO|10</t>
  </si>
  <si>
    <t>NOVEMBRO|10</t>
  </si>
  <si>
    <t>DEZEMBRO|10</t>
  </si>
  <si>
    <t>JANEIRO|11</t>
  </si>
  <si>
    <t>FEVEREIRO|11</t>
  </si>
  <si>
    <t>MARÇO|11</t>
  </si>
  <si>
    <t>ABRIL|11</t>
  </si>
  <si>
    <t>MAIO|11</t>
  </si>
  <si>
    <t>JUNHO|11</t>
  </si>
  <si>
    <t>JULHO|11</t>
  </si>
  <si>
    <t>AGOSTO|11</t>
  </si>
  <si>
    <t>SETEMBRO|11</t>
  </si>
  <si>
    <t>OUTUBRO|11</t>
  </si>
  <si>
    <t>NOVEMBRO|11</t>
  </si>
  <si>
    <t>DEZEMBRO|11</t>
  </si>
  <si>
    <t>JANEIRO|12</t>
  </si>
  <si>
    <t>FEVEREIRO|12</t>
  </si>
  <si>
    <t>MARÇO|12</t>
  </si>
  <si>
    <t>ABRIL|12</t>
  </si>
  <si>
    <t>MAIO|12</t>
  </si>
  <si>
    <t>JUNHO|12</t>
  </si>
  <si>
    <t>JULHO|12</t>
  </si>
  <si>
    <t>AGOSTO|12</t>
  </si>
  <si>
    <t>SETEMBRO|12</t>
  </si>
  <si>
    <t>OUTUBRO|12</t>
  </si>
  <si>
    <t>NOVEMBRO|12</t>
  </si>
  <si>
    <t>DEZEMBRO|12</t>
  </si>
  <si>
    <t>JANEIRO|13</t>
  </si>
  <si>
    <t>FEVEREIRO|13</t>
  </si>
  <si>
    <t>MARÇO|13</t>
  </si>
  <si>
    <t>ABRIL|13</t>
  </si>
  <si>
    <t>MAIO|13</t>
  </si>
  <si>
    <t>JUNHO|13</t>
  </si>
  <si>
    <t>JULHO|13</t>
  </si>
  <si>
    <t>AGOSTO|13</t>
  </si>
  <si>
    <t>SETEMBRO|13</t>
  </si>
  <si>
    <t>OUTUBRO|13</t>
  </si>
  <si>
    <t>NOVEMBRO|13</t>
  </si>
  <si>
    <t>DEZEMBRO|13</t>
  </si>
  <si>
    <t>JANEIRO|14</t>
  </si>
  <si>
    <t>FEVEREIRO|14</t>
  </si>
  <si>
    <t>MARÇO|14</t>
  </si>
  <si>
    <t>ABRIL|14</t>
  </si>
  <si>
    <t>MAIO|14</t>
  </si>
  <si>
    <t>JUNHO|14</t>
  </si>
  <si>
    <t>JULHO|14</t>
  </si>
  <si>
    <t>AGOSTO|14</t>
  </si>
  <si>
    <t>SETEMBRO|14</t>
  </si>
  <si>
    <t>OUTUBRO|14</t>
  </si>
  <si>
    <t>NOVEMBRO|14</t>
  </si>
  <si>
    <t>DEZEMBRO|14</t>
  </si>
  <si>
    <t>JANEIRO|15</t>
  </si>
  <si>
    <t>FEVEREIRO|15</t>
  </si>
  <si>
    <t>MARÇO|15</t>
  </si>
  <si>
    <t>Período</t>
  </si>
  <si>
    <t>Diesel S-10</t>
  </si>
  <si>
    <t>Base: Mar/12 = 100</t>
  </si>
  <si>
    <t>Arla 32</t>
  </si>
  <si>
    <t xml:space="preserve">EVOLUÇÃO DOS INSUMOS DO TRANSPORTE </t>
  </si>
  <si>
    <t>Gasolina</t>
  </si>
  <si>
    <t>Base: Janeiro/00 = 100</t>
  </si>
  <si>
    <t>Ano</t>
  </si>
  <si>
    <t>24 meses</t>
  </si>
  <si>
    <t>Etanol</t>
  </si>
  <si>
    <t>INCTL</t>
  </si>
  <si>
    <t>INCTFR</t>
  </si>
  <si>
    <t>INCTF</t>
  </si>
  <si>
    <t>INCTFou</t>
  </si>
  <si>
    <t>INCTFrig</t>
  </si>
  <si>
    <t>Período:</t>
  </si>
  <si>
    <t>Diesel  S-10</t>
  </si>
  <si>
    <t>ABRIL|15</t>
  </si>
  <si>
    <t>MAIO|15</t>
  </si>
  <si>
    <t>JUNHO|15</t>
  </si>
  <si>
    <t>JULHO|15</t>
  </si>
  <si>
    <t>AGOSTO|15</t>
  </si>
  <si>
    <t>SETEMBRO|15</t>
  </si>
  <si>
    <t>OUTUBRO|15</t>
  </si>
  <si>
    <t>NOVEMBRO|15</t>
  </si>
  <si>
    <t>DEZEMBRO|15</t>
  </si>
  <si>
    <t>JANEIRO|16</t>
  </si>
  <si>
    <t>EVOLUÇÃO DOS INSUMOS DO TRANSPORTE DE CARGA LOTAÇÃO</t>
  </si>
  <si>
    <t>FEVEREIRO|16</t>
  </si>
  <si>
    <t xml:space="preserve">Fonte : ANP - Agência Nacional do Petroléo </t>
  </si>
  <si>
    <t xml:space="preserve"> EVOLUÇÃO DOS INSUMOS DO TRC   COMBUSTÍVEL    </t>
  </si>
  <si>
    <t>VARIAÇÃO DOS INSUMOS DE TRANSPORTES (%)</t>
  </si>
  <si>
    <t>| PERÍODO FINAL</t>
  </si>
  <si>
    <t>PERÍODO INICIAL |</t>
  </si>
  <si>
    <t>Para calcular o percentual de aumento de determinado período, proceda da seguinte maneira:</t>
  </si>
  <si>
    <t xml:space="preserve">      1º Indique o índice a ser calculado;</t>
  </si>
  <si>
    <t xml:space="preserve">      2º Determine o período Inicial x o período Final;</t>
  </si>
  <si>
    <t xml:space="preserve">      3º Imprima o arquivo.</t>
  </si>
  <si>
    <t xml:space="preserve"> Fonte: ANP e NTC  / Elaboração: DECOPE</t>
  </si>
  <si>
    <t>Preço média - Brasil</t>
  </si>
  <si>
    <t>ABRIL|18</t>
  </si>
  <si>
    <t>Preço coletado parcialmente no período 08/04/2018 - 14/04/2018*</t>
  </si>
  <si>
    <t>Fonte: ANP - DECOPE/NTC&amp;Logística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</si>
</sst>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00"/>
    <numFmt numFmtId="165" formatCode="#,##0.0000"/>
    <numFmt numFmtId="166" formatCode="0.0000"/>
    <numFmt numFmtId="167" formatCode="0.00_ ;[Red]\-0.00\ "/>
    <numFmt numFmtId="168" formatCode="#,##0.00_);[Red]\(#,##0.00\)"/>
    <numFmt numFmtId="169" formatCode="0.000"/>
    <numFmt numFmtId="170" formatCode="_(&quot;R$ &quot;* #,##0.00_);_(&quot;R$ &quot;* \(#,##0.00\);_(&quot;R$ &quot;* &quot;-&quot;??_);_(@_)"/>
    <numFmt numFmtId="171" formatCode="_(* #,##0.00_);_(* \(#,##0.00\);_(* &quot;-&quot;??_);_(@_)"/>
  </numFmts>
  <fonts count="53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184782"/>
      <name val="Calibri"/>
      <family val="2"/>
      <scheme val="minor"/>
    </font>
    <font>
      <b/>
      <sz val="14"/>
      <color rgb="FF184782"/>
      <name val="Calibri"/>
      <family val="2"/>
      <scheme val="minor"/>
    </font>
    <font>
      <b/>
      <sz val="13"/>
      <color indexed="9"/>
      <name val="Calibri"/>
      <family val="2"/>
      <scheme val="minor"/>
    </font>
    <font>
      <b/>
      <i/>
      <sz val="13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1.5"/>
      <name val="Calibri"/>
      <family val="2"/>
      <scheme val="minor"/>
    </font>
    <font>
      <b/>
      <i/>
      <sz val="10"/>
      <color rgb="FF18478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8"/>
      <name val="Calibri"/>
      <family val="2"/>
      <scheme val="minor"/>
    </font>
    <font>
      <sz val="12"/>
      <name val="Arial"/>
      <family val="2"/>
    </font>
    <font>
      <sz val="11"/>
      <color theme="0"/>
      <name val="Cambria"/>
      <family val="2"/>
    </font>
    <font>
      <b/>
      <sz val="14"/>
      <color rgb="FF184782"/>
      <name val="Calibri"/>
      <family val="2"/>
    </font>
    <font>
      <b/>
      <sz val="14"/>
      <color indexed="9"/>
      <name val="Calibri Light"/>
      <family val="2"/>
    </font>
    <font>
      <b/>
      <i/>
      <sz val="13"/>
      <color indexed="9"/>
      <name val="Calibri Light"/>
      <family val="2"/>
    </font>
    <font>
      <b/>
      <sz val="12"/>
      <color theme="0"/>
      <name val="Calibri Light"/>
      <family val="2"/>
    </font>
    <font>
      <b/>
      <sz val="13"/>
      <color theme="0"/>
      <name val="Calibri Light"/>
      <family val="2"/>
    </font>
    <font>
      <b/>
      <sz val="10.5"/>
      <name val="Calibri Light"/>
      <family val="2"/>
    </font>
    <font>
      <b/>
      <sz val="10"/>
      <name val="Arial"/>
      <family val="2"/>
    </font>
    <font>
      <b/>
      <i/>
      <sz val="10"/>
      <color theme="0"/>
      <name val="Calibri Light"/>
      <family val="2"/>
    </font>
    <font>
      <sz val="11.5"/>
      <name val="Cambria"/>
      <family val="1"/>
      <scheme val="major"/>
    </font>
    <font>
      <sz val="11.5"/>
      <color theme="1"/>
      <name val="Cambria"/>
      <family val="1"/>
      <scheme val="major"/>
    </font>
    <font>
      <b/>
      <i/>
      <sz val="9"/>
      <color indexed="10"/>
      <name val="Calibri"/>
      <family val="2"/>
    </font>
    <font>
      <sz val="8"/>
      <color rgb="FF000000"/>
      <name val="Tahoma"/>
      <family val="2"/>
    </font>
    <font>
      <b/>
      <sz val="10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2"/>
      <color theme="0"/>
      <name val="Arial"/>
      <family val="2"/>
    </font>
    <font>
      <sz val="10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sz val="9"/>
      <color indexed="10"/>
      <name val="Calibri"/>
      <family val="2"/>
      <scheme val="minor"/>
    </font>
    <font>
      <sz val="11"/>
      <color theme="0"/>
      <name val="Cambria"/>
      <family val="1"/>
      <scheme val="major"/>
    </font>
    <font>
      <b/>
      <sz val="10"/>
      <name val="Calibri"/>
      <family val="2"/>
    </font>
    <font>
      <i/>
      <sz val="10"/>
      <name val="Calibri"/>
      <family val="2"/>
    </font>
    <font>
      <sz val="11"/>
      <name val="Cambria"/>
      <family val="2"/>
    </font>
    <font>
      <b/>
      <i/>
      <sz val="11"/>
      <name val="Cambria"/>
      <family val="1"/>
      <scheme val="major"/>
    </font>
    <font>
      <b/>
      <sz val="9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1"/>
      <color theme="0"/>
      <name val="Cambria"/>
      <family val="1"/>
    </font>
    <font>
      <b/>
      <sz val="10"/>
      <color theme="0"/>
      <name val="Cambria"/>
      <family val="1"/>
    </font>
    <font>
      <b/>
      <sz val="24"/>
      <name val="Calibri"/>
      <family val="2"/>
      <scheme val="minor"/>
    </font>
    <font>
      <b/>
      <sz val="15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84782"/>
        <bgColor indexed="64"/>
      </patternFill>
    </fill>
    <fill>
      <patternFill patternType="solid">
        <fgColor rgb="FFCF9E4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rgb="FF184782"/>
      </bottom>
      <diagonal/>
    </border>
    <border>
      <left style="medium">
        <color rgb="FF184782"/>
      </left>
      <right style="medium">
        <color theme="0" tint="-0.14996795556505021"/>
      </right>
      <top style="medium">
        <color rgb="FF184782"/>
      </top>
      <bottom style="medium">
        <color theme="0" tint="-0.14996795556505021"/>
      </bottom>
      <diagonal/>
    </border>
    <border>
      <left/>
      <right/>
      <top style="medium">
        <color rgb="FF184782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rgb="FF184782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rgb="FF184782"/>
      </top>
      <bottom style="medium">
        <color theme="0" tint="-0.14996795556505021"/>
      </bottom>
      <diagonal/>
    </border>
    <border>
      <left/>
      <right style="medium">
        <color rgb="FF184782"/>
      </right>
      <top style="medium">
        <color rgb="FF184782"/>
      </top>
      <bottom style="medium">
        <color theme="0" tint="-0.14996795556505021"/>
      </bottom>
      <diagonal/>
    </border>
    <border>
      <left style="medium">
        <color rgb="FF184782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rgb="FF184782"/>
      </right>
      <top style="medium">
        <color theme="0" tint="-0.14996795556505021"/>
      </top>
      <bottom/>
      <diagonal/>
    </border>
    <border>
      <left style="medium">
        <color rgb="FF18478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rgb="FF184782"/>
      </right>
      <top/>
      <bottom style="medium">
        <color theme="0" tint="-0.14996795556505021"/>
      </bottom>
      <diagonal/>
    </border>
    <border>
      <left style="medium">
        <color rgb="FF184782"/>
      </left>
      <right/>
      <top style="medium">
        <color theme="0" tint="-0.14996795556505021"/>
      </top>
      <bottom style="medium">
        <color rgb="FF184782"/>
      </bottom>
      <diagonal/>
    </border>
    <border>
      <left/>
      <right/>
      <top style="medium">
        <color theme="0" tint="-0.14996795556505021"/>
      </top>
      <bottom style="medium">
        <color rgb="FF184782"/>
      </bottom>
      <diagonal/>
    </border>
    <border>
      <left/>
      <right style="medium">
        <color rgb="FF184782"/>
      </right>
      <top style="medium">
        <color theme="0" tint="-0.14996795556505021"/>
      </top>
      <bottom style="medium">
        <color rgb="FF184782"/>
      </bottom>
      <diagonal/>
    </border>
    <border>
      <left style="medium">
        <color rgb="FF184782"/>
      </left>
      <right style="medium">
        <color theme="0" tint="-0.14996795556505021"/>
      </right>
      <top style="medium">
        <color rgb="FF184782"/>
      </top>
      <bottom style="thin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rgb="FF184782"/>
      </top>
      <bottom style="thin">
        <color theme="0" tint="-0.14996795556505021"/>
      </bottom>
      <diagonal/>
    </border>
    <border>
      <left style="medium">
        <color theme="0" tint="-0.14996795556505021"/>
      </left>
      <right/>
      <top style="medium">
        <color rgb="FF184782"/>
      </top>
      <bottom style="thin">
        <color theme="0" tint="-0.14996795556505021"/>
      </bottom>
      <diagonal/>
    </border>
    <border>
      <left style="medium">
        <color rgb="FF184782"/>
      </left>
      <right style="medium">
        <color rgb="FF184782"/>
      </right>
      <top style="medium">
        <color rgb="FF184782"/>
      </top>
      <bottom style="thin">
        <color theme="0" tint="-0.14996795556505021"/>
      </bottom>
      <diagonal/>
    </border>
    <border>
      <left style="medium">
        <color rgb="FF184782"/>
      </left>
      <right style="medium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184782"/>
      </left>
      <right style="medium">
        <color rgb="FF18478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184782"/>
      </left>
      <right style="medium">
        <color theme="0" tint="-0.14996795556505021"/>
      </right>
      <top style="thin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14996795556505021"/>
      </top>
      <bottom/>
      <diagonal/>
    </border>
    <border>
      <left style="medium">
        <color theme="0" tint="-0.14996795556505021"/>
      </left>
      <right/>
      <top style="thin">
        <color theme="0" tint="-0.14996795556505021"/>
      </top>
      <bottom/>
      <diagonal/>
    </border>
    <border>
      <left style="medium">
        <color rgb="FF184782"/>
      </left>
      <right style="medium">
        <color theme="0" tint="-0.14996795556505021"/>
      </right>
      <top style="medium">
        <color theme="0" tint="-0.14996795556505021"/>
      </top>
      <bottom style="medium">
        <color rgb="FF18478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rgb="FF184782"/>
      </bottom>
      <diagonal/>
    </border>
    <border>
      <left style="medium">
        <color rgb="FF184782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rgb="FF184782"/>
      </right>
      <top style="medium">
        <color theme="0" tint="-0.14996795556505021"/>
      </top>
      <bottom/>
      <diagonal/>
    </border>
    <border>
      <left style="medium">
        <color rgb="FF184782"/>
      </left>
      <right style="medium">
        <color theme="0" tint="-0.14996795556505021"/>
      </right>
      <top style="medium">
        <color rgb="FF184782"/>
      </top>
      <bottom style="medium">
        <color rgb="FF18478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rgb="FF184782"/>
      </top>
      <bottom style="medium">
        <color rgb="FF184782"/>
      </bottom>
      <diagonal/>
    </border>
    <border>
      <left style="medium">
        <color theme="0" tint="-0.14996795556505021"/>
      </left>
      <right style="medium">
        <color rgb="FF184782"/>
      </right>
      <top style="medium">
        <color rgb="FF184782"/>
      </top>
      <bottom style="medium">
        <color rgb="FF18478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rgb="FF18478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rgb="FF184782"/>
      </right>
      <top style="medium">
        <color rgb="FF18478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rgb="FF184782"/>
      </right>
      <top style="medium">
        <color theme="0" tint="-0.14996795556505021"/>
      </top>
      <bottom style="medium">
        <color rgb="FF184782"/>
      </bottom>
      <diagonal/>
    </border>
    <border>
      <left style="medium">
        <color indexed="64"/>
      </left>
      <right/>
      <top style="medium">
        <color rgb="FF184782"/>
      </top>
      <bottom style="medium">
        <color rgb="FF184782"/>
      </bottom>
      <diagonal/>
    </border>
    <border>
      <left/>
      <right/>
      <top style="medium">
        <color rgb="FF184782"/>
      </top>
      <bottom style="medium">
        <color rgb="FF184782"/>
      </bottom>
      <diagonal/>
    </border>
    <border>
      <left/>
      <right style="medium">
        <color indexed="64"/>
      </right>
      <top style="medium">
        <color rgb="FF184782"/>
      </top>
      <bottom style="medium">
        <color rgb="FF184782"/>
      </bottom>
      <diagonal/>
    </border>
    <border>
      <left/>
      <right/>
      <top style="medium">
        <color rgb="FF184782"/>
      </top>
      <bottom/>
      <diagonal/>
    </border>
    <border>
      <left style="medium">
        <color theme="0" tint="-0.14996795556505021"/>
      </left>
      <right style="medium">
        <color rgb="FF18478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rgb="FF184782"/>
      </left>
      <right/>
      <top style="medium">
        <color rgb="FF184782"/>
      </top>
      <bottom style="medium">
        <color rgb="FF184782"/>
      </bottom>
      <diagonal/>
    </border>
    <border>
      <left/>
      <right style="medium">
        <color rgb="FF184782"/>
      </right>
      <top style="medium">
        <color rgb="FF184782"/>
      </top>
      <bottom style="medium">
        <color rgb="FF184782"/>
      </bottom>
      <diagonal/>
    </border>
    <border>
      <left/>
      <right/>
      <top/>
      <bottom style="double">
        <color rgb="FFCF9E4D"/>
      </bottom>
      <diagonal/>
    </border>
    <border>
      <left style="medium">
        <color rgb="FF184782"/>
      </left>
      <right style="medium">
        <color rgb="FF184782"/>
      </right>
      <top style="thin">
        <color theme="0" tint="-0.14996795556505021"/>
      </top>
      <bottom style="medium">
        <color rgb="FF184782"/>
      </bottom>
      <diagonal/>
    </border>
    <border>
      <left style="medium">
        <color rgb="FF184782"/>
      </left>
      <right style="medium">
        <color theme="0" tint="-0.14996795556505021"/>
      </right>
      <top style="thin">
        <color theme="0" tint="-0.14996795556505021"/>
      </top>
      <bottom style="medium">
        <color rgb="FF18478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14996795556505021"/>
      </top>
      <bottom style="medium">
        <color rgb="FF184782"/>
      </bottom>
      <diagonal/>
    </border>
    <border>
      <left style="medium">
        <color theme="0" tint="-0.14996795556505021"/>
      </left>
      <right/>
      <top style="thin">
        <color theme="0" tint="-0.14996795556505021"/>
      </top>
      <bottom style="medium">
        <color rgb="FF184782"/>
      </bottom>
      <diagonal/>
    </border>
    <border>
      <left style="medium">
        <color rgb="FF184782"/>
      </left>
      <right style="medium">
        <color rgb="FF184782"/>
      </right>
      <top style="thin">
        <color theme="0" tint="-0.14996795556505021"/>
      </top>
      <bottom/>
      <diagonal/>
    </border>
  </borders>
  <cellStyleXfs count="10">
    <xf numFmtId="0" fontId="0" fillId="0" borderId="0"/>
    <xf numFmtId="0" fontId="12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2" fillId="0" borderId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</cellStyleXfs>
  <cellXfs count="242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vertical="center"/>
    </xf>
    <xf numFmtId="0" fontId="2" fillId="0" borderId="0" xfId="0" applyFont="1" applyBorder="1"/>
    <xf numFmtId="17" fontId="9" fillId="0" borderId="12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7" fontId="11" fillId="2" borderId="16" xfId="0" applyNumberFormat="1" applyFont="1" applyFill="1" applyBorder="1" applyAlignment="1">
      <alignment vertical="center"/>
    </xf>
    <xf numFmtId="17" fontId="11" fillId="2" borderId="17" xfId="0" applyNumberFormat="1" applyFont="1" applyFill="1" applyBorder="1" applyAlignment="1">
      <alignment vertical="center"/>
    </xf>
    <xf numFmtId="17" fontId="15" fillId="0" borderId="0" xfId="0" applyNumberFormat="1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16" fillId="0" borderId="0" xfId="0" applyNumberFormat="1" applyFont="1" applyAlignment="1">
      <alignment vertical="center"/>
    </xf>
    <xf numFmtId="17" fontId="13" fillId="4" borderId="18" xfId="1" applyNumberFormat="1" applyFont="1" applyFill="1" applyBorder="1" applyAlignment="1">
      <alignment horizontal="left"/>
    </xf>
    <xf numFmtId="164" fontId="14" fillId="0" borderId="19" xfId="0" applyNumberFormat="1" applyFont="1" applyFill="1" applyBorder="1" applyAlignment="1">
      <alignment horizontal="right"/>
    </xf>
    <xf numFmtId="4" fontId="14" fillId="0" borderId="19" xfId="0" applyNumberFormat="1" applyFont="1" applyFill="1" applyBorder="1" applyAlignment="1">
      <alignment horizontal="right"/>
    </xf>
    <xf numFmtId="17" fontId="13" fillId="4" borderId="22" xfId="1" applyNumberFormat="1" applyFont="1" applyFill="1" applyBorder="1" applyAlignment="1">
      <alignment horizontal="left"/>
    </xf>
    <xf numFmtId="164" fontId="14" fillId="0" borderId="23" xfId="0" applyNumberFormat="1" applyFont="1" applyFill="1" applyBorder="1" applyAlignment="1">
      <alignment horizontal="right"/>
    </xf>
    <xf numFmtId="4" fontId="14" fillId="0" borderId="23" xfId="0" applyNumberFormat="1" applyFont="1" applyFill="1" applyBorder="1" applyAlignment="1">
      <alignment horizontal="right"/>
    </xf>
    <xf numFmtId="40" fontId="14" fillId="0" borderId="23" xfId="0" applyNumberFormat="1" applyFont="1" applyFill="1" applyBorder="1" applyAlignment="1">
      <alignment horizontal="right"/>
    </xf>
    <xf numFmtId="40" fontId="14" fillId="0" borderId="23" xfId="0" applyNumberFormat="1" applyFont="1" applyFill="1" applyBorder="1"/>
    <xf numFmtId="2" fontId="14" fillId="0" borderId="24" xfId="0" applyNumberFormat="1" applyFont="1" applyFill="1" applyBorder="1"/>
    <xf numFmtId="0" fontId="17" fillId="0" borderId="0" xfId="0" applyNumberFormat="1" applyFont="1" applyAlignment="1">
      <alignment vertical="center"/>
    </xf>
    <xf numFmtId="4" fontId="14" fillId="0" borderId="27" xfId="0" applyNumberFormat="1" applyFont="1" applyFill="1" applyBorder="1" applyAlignment="1">
      <alignment horizontal="right"/>
    </xf>
    <xf numFmtId="40" fontId="14" fillId="0" borderId="27" xfId="0" applyNumberFormat="1" applyFont="1" applyFill="1" applyBorder="1" applyAlignment="1">
      <alignment horizontal="right"/>
    </xf>
    <xf numFmtId="2" fontId="14" fillId="0" borderId="28" xfId="0" applyNumberFormat="1" applyFont="1" applyFill="1" applyBorder="1"/>
    <xf numFmtId="17" fontId="15" fillId="0" borderId="0" xfId="0" applyNumberFormat="1" applyFont="1" applyFill="1" applyBorder="1" applyAlignment="1"/>
    <xf numFmtId="4" fontId="2" fillId="0" borderId="0" xfId="0" applyNumberFormat="1" applyFont="1"/>
    <xf numFmtId="0" fontId="18" fillId="0" borderId="0" xfId="0" applyNumberFormat="1" applyFont="1" applyAlignment="1">
      <alignment vertical="center"/>
    </xf>
    <xf numFmtId="0" fontId="18" fillId="0" borderId="0" xfId="0" applyNumberFormat="1" applyFont="1" applyAlignment="1">
      <alignment horizontal="center" vertical="center" wrapText="1"/>
    </xf>
    <xf numFmtId="17" fontId="11" fillId="2" borderId="32" xfId="0" applyNumberFormat="1" applyFont="1" applyFill="1" applyBorder="1" applyAlignment="1">
      <alignment vertical="center"/>
    </xf>
    <xf numFmtId="17" fontId="11" fillId="2" borderId="33" xfId="0" applyNumberFormat="1" applyFont="1" applyFill="1" applyBorder="1" applyAlignment="1">
      <alignment vertical="center"/>
    </xf>
    <xf numFmtId="17" fontId="13" fillId="0" borderId="18" xfId="1" applyNumberFormat="1" applyFont="1" applyFill="1" applyBorder="1" applyAlignment="1">
      <alignment horizontal="left" vertical="center"/>
    </xf>
    <xf numFmtId="166" fontId="14" fillId="0" borderId="19" xfId="0" applyNumberFormat="1" applyFont="1" applyFill="1" applyBorder="1" applyAlignment="1">
      <alignment horizontal="right"/>
    </xf>
    <xf numFmtId="2" fontId="14" fillId="0" borderId="19" xfId="0" applyNumberFormat="1" applyFont="1" applyFill="1" applyBorder="1" applyAlignment="1">
      <alignment horizontal="right"/>
    </xf>
    <xf numFmtId="4" fontId="14" fillId="0" borderId="20" xfId="0" applyNumberFormat="1" applyFont="1" applyFill="1" applyBorder="1" applyAlignment="1">
      <alignment horizontal="right"/>
    </xf>
    <xf numFmtId="166" fontId="14" fillId="0" borderId="21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7" fontId="13" fillId="0" borderId="22" xfId="1" applyNumberFormat="1" applyFont="1" applyFill="1" applyBorder="1" applyAlignment="1">
      <alignment horizontal="left" vertical="center"/>
    </xf>
    <xf numFmtId="166" fontId="14" fillId="0" borderId="23" xfId="0" applyNumberFormat="1" applyFont="1" applyFill="1" applyBorder="1" applyAlignment="1">
      <alignment horizontal="right"/>
    </xf>
    <xf numFmtId="2" fontId="14" fillId="0" borderId="23" xfId="0" applyNumberFormat="1" applyFont="1" applyFill="1" applyBorder="1" applyAlignment="1">
      <alignment horizontal="right"/>
    </xf>
    <xf numFmtId="4" fontId="14" fillId="0" borderId="24" xfId="0" applyNumberFormat="1" applyFont="1" applyFill="1" applyBorder="1" applyAlignment="1">
      <alignment horizontal="right"/>
    </xf>
    <xf numFmtId="166" fontId="14" fillId="0" borderId="25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2" fontId="14" fillId="0" borderId="23" xfId="0" applyNumberFormat="1" applyFont="1" applyFill="1" applyBorder="1"/>
    <xf numFmtId="4" fontId="2" fillId="0" borderId="0" xfId="0" applyNumberFormat="1" applyFont="1" applyFill="1"/>
    <xf numFmtId="0" fontId="19" fillId="0" borderId="0" xfId="0" applyNumberFormat="1" applyFont="1" applyFill="1" applyAlignment="1"/>
    <xf numFmtId="0" fontId="2" fillId="0" borderId="0" xfId="0" applyFont="1" applyFill="1"/>
    <xf numFmtId="11" fontId="2" fillId="0" borderId="0" xfId="0" applyNumberFormat="1" applyFont="1"/>
    <xf numFmtId="0" fontId="13" fillId="0" borderId="0" xfId="0" applyFont="1"/>
    <xf numFmtId="4" fontId="13" fillId="0" borderId="0" xfId="0" applyNumberFormat="1" applyFont="1"/>
    <xf numFmtId="4" fontId="13" fillId="0" borderId="0" xfId="0" applyNumberFormat="1" applyFont="1" applyAlignment="1">
      <alignment horizontal="right"/>
    </xf>
    <xf numFmtId="0" fontId="0" fillId="5" borderId="0" xfId="0" applyFill="1"/>
    <xf numFmtId="17" fontId="27" fillId="5" borderId="29" xfId="0" applyNumberFormat="1" applyFont="1" applyFill="1" applyBorder="1" applyAlignment="1">
      <alignment horizontal="center" vertical="center"/>
    </xf>
    <xf numFmtId="0" fontId="27" fillId="5" borderId="30" xfId="0" applyFont="1" applyFill="1" applyBorder="1" applyAlignment="1">
      <alignment horizontal="center" vertical="center"/>
    </xf>
    <xf numFmtId="0" fontId="28" fillId="5" borderId="0" xfId="0" applyFont="1" applyFill="1" applyAlignment="1">
      <alignment horizontal="right"/>
    </xf>
    <xf numFmtId="0" fontId="0" fillId="5" borderId="0" xfId="0" applyFill="1" applyAlignment="1">
      <alignment horizontal="right"/>
    </xf>
    <xf numFmtId="17" fontId="29" fillId="2" borderId="40" xfId="0" applyNumberFormat="1" applyFont="1" applyFill="1" applyBorder="1" applyAlignment="1"/>
    <xf numFmtId="17" fontId="29" fillId="2" borderId="41" xfId="0" applyNumberFormat="1" applyFont="1" applyFill="1" applyBorder="1" applyAlignment="1"/>
    <xf numFmtId="17" fontId="29" fillId="2" borderId="42" xfId="0" applyNumberFormat="1" applyFont="1" applyFill="1" applyBorder="1" applyAlignment="1"/>
    <xf numFmtId="0" fontId="0" fillId="5" borderId="0" xfId="0" applyFill="1" applyAlignment="1">
      <alignment horizontal="left"/>
    </xf>
    <xf numFmtId="0" fontId="32" fillId="5" borderId="0" xfId="0" applyNumberFormat="1" applyFont="1" applyFill="1" applyBorder="1" applyAlignment="1"/>
    <xf numFmtId="4" fontId="0" fillId="5" borderId="0" xfId="0" applyNumberFormat="1" applyFill="1"/>
    <xf numFmtId="2" fontId="0" fillId="5" borderId="0" xfId="0" applyNumberFormat="1" applyFill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40" fontId="14" fillId="0" borderId="0" xfId="0" applyNumberFormat="1" applyFont="1" applyFill="1" applyBorder="1" applyAlignment="1">
      <alignment horizontal="right"/>
    </xf>
    <xf numFmtId="40" fontId="14" fillId="0" borderId="0" xfId="0" applyNumberFormat="1" applyFont="1" applyFill="1" applyBorder="1"/>
    <xf numFmtId="2" fontId="14" fillId="0" borderId="0" xfId="0" applyNumberFormat="1" applyFont="1" applyFill="1" applyBorder="1"/>
    <xf numFmtId="165" fontId="14" fillId="0" borderId="0" xfId="0" applyNumberFormat="1" applyFont="1" applyFill="1" applyBorder="1" applyAlignment="1">
      <alignment horizontal="right"/>
    </xf>
    <xf numFmtId="0" fontId="37" fillId="0" borderId="0" xfId="0" applyFont="1"/>
    <xf numFmtId="0" fontId="37" fillId="0" borderId="0" xfId="0" applyFont="1" applyFill="1"/>
    <xf numFmtId="17" fontId="13" fillId="0" borderId="29" xfId="0" applyNumberFormat="1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/>
    </xf>
    <xf numFmtId="0" fontId="37" fillId="0" borderId="0" xfId="0" applyFont="1" applyFill="1" applyAlignment="1">
      <alignment horizontal="right"/>
    </xf>
    <xf numFmtId="17" fontId="10" fillId="2" borderId="45" xfId="0" applyNumberFormat="1" applyFont="1" applyFill="1" applyBorder="1" applyAlignment="1">
      <alignment vertical="center"/>
    </xf>
    <xf numFmtId="17" fontId="10" fillId="2" borderId="41" xfId="0" applyNumberFormat="1" applyFont="1" applyFill="1" applyBorder="1" applyAlignment="1">
      <alignment vertical="center"/>
    </xf>
    <xf numFmtId="17" fontId="10" fillId="2" borderId="46" xfId="0" applyNumberFormat="1" applyFont="1" applyFill="1" applyBorder="1" applyAlignment="1">
      <alignment vertical="center"/>
    </xf>
    <xf numFmtId="0" fontId="37" fillId="0" borderId="0" xfId="0" applyFont="1" applyFill="1" applyAlignment="1">
      <alignment horizontal="left"/>
    </xf>
    <xf numFmtId="164" fontId="14" fillId="0" borderId="0" xfId="0" applyNumberFormat="1" applyFont="1" applyFill="1" applyBorder="1"/>
    <xf numFmtId="0" fontId="39" fillId="0" borderId="0" xfId="0" applyNumberFormat="1" applyFont="1" applyFill="1" applyBorder="1" applyAlignment="1"/>
    <xf numFmtId="4" fontId="37" fillId="0" borderId="0" xfId="0" applyNumberFormat="1" applyFont="1" applyFill="1"/>
    <xf numFmtId="4" fontId="37" fillId="0" borderId="0" xfId="0" applyNumberFormat="1" applyFont="1"/>
    <xf numFmtId="11" fontId="37" fillId="0" borderId="0" xfId="0" applyNumberFormat="1" applyFont="1"/>
    <xf numFmtId="17" fontId="15" fillId="5" borderId="43" xfId="0" applyNumberFormat="1" applyFont="1" applyFill="1" applyBorder="1" applyAlignment="1">
      <alignment vertical="center"/>
    </xf>
    <xf numFmtId="43" fontId="15" fillId="5" borderId="43" xfId="2" applyFont="1" applyFill="1" applyBorder="1" applyAlignment="1">
      <alignment vertical="center"/>
    </xf>
    <xf numFmtId="0" fontId="13" fillId="0" borderId="0" xfId="4" applyFont="1" applyAlignment="1" applyProtection="1">
      <alignment vertical="center"/>
      <protection locked="0"/>
    </xf>
    <xf numFmtId="0" fontId="34" fillId="0" borderId="0" xfId="4" applyFont="1" applyFill="1" applyBorder="1" applyAlignment="1" applyProtection="1">
      <alignment vertical="center"/>
      <protection locked="0"/>
    </xf>
    <xf numFmtId="0" fontId="35" fillId="0" borderId="0" xfId="4" applyFont="1" applyFill="1" applyBorder="1" applyAlignment="1" applyProtection="1">
      <alignment vertical="center" wrapText="1"/>
      <protection locked="0"/>
    </xf>
    <xf numFmtId="0" fontId="34" fillId="0" borderId="0" xfId="4" applyFont="1" applyFill="1" applyAlignment="1" applyProtection="1">
      <alignment vertical="center"/>
      <protection locked="0"/>
    </xf>
    <xf numFmtId="0" fontId="13" fillId="0" borderId="0" xfId="4" applyFont="1" applyFill="1" applyBorder="1" applyAlignment="1" applyProtection="1">
      <alignment vertical="center"/>
      <protection locked="0"/>
    </xf>
    <xf numFmtId="0" fontId="13" fillId="0" borderId="0" xfId="4" applyFont="1" applyFill="1" applyAlignment="1" applyProtection="1">
      <alignment vertical="center"/>
      <protection locked="0"/>
    </xf>
    <xf numFmtId="0" fontId="36" fillId="0" borderId="0" xfId="0" applyFont="1" applyFill="1" applyBorder="1" applyProtection="1">
      <protection locked="0"/>
    </xf>
    <xf numFmtId="0" fontId="36" fillId="0" borderId="0" xfId="0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 applyFill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 vertical="top"/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2" fontId="21" fillId="5" borderId="0" xfId="2" applyNumberFormat="1" applyFont="1" applyFill="1" applyBorder="1" applyAlignment="1" applyProtection="1">
      <alignment horizontal="center" vertical="center"/>
      <protection locked="0"/>
    </xf>
    <xf numFmtId="10" fontId="36" fillId="0" borderId="0" xfId="3" applyNumberFormat="1" applyFont="1" applyFill="1" applyBorder="1" applyProtection="1">
      <protection locked="0"/>
    </xf>
    <xf numFmtId="0" fontId="36" fillId="0" borderId="0" xfId="0" applyFont="1" applyBorder="1" applyProtection="1">
      <protection locked="0"/>
    </xf>
    <xf numFmtId="0" fontId="36" fillId="0" borderId="0" xfId="0" applyNumberFormat="1" applyFont="1" applyBorder="1" applyProtection="1">
      <protection locked="0"/>
    </xf>
    <xf numFmtId="0" fontId="41" fillId="0" borderId="0" xfId="0" applyFont="1" applyAlignment="1" applyProtection="1">
      <alignment vertical="top"/>
      <protection locked="0"/>
    </xf>
    <xf numFmtId="0" fontId="42" fillId="0" borderId="0" xfId="0" applyFont="1" applyProtection="1">
      <protection locked="0"/>
    </xf>
    <xf numFmtId="17" fontId="13" fillId="0" borderId="26" xfId="1" applyNumberFormat="1" applyFont="1" applyFill="1" applyBorder="1" applyAlignment="1">
      <alignment horizontal="left" vertical="center"/>
    </xf>
    <xf numFmtId="166" fontId="14" fillId="0" borderId="27" xfId="0" applyNumberFormat="1" applyFont="1" applyFill="1" applyBorder="1" applyAlignment="1">
      <alignment horizontal="right"/>
    </xf>
    <xf numFmtId="2" fontId="14" fillId="0" borderId="27" xfId="0" applyNumberFormat="1" applyFont="1" applyFill="1" applyBorder="1" applyAlignment="1">
      <alignment horizontal="right"/>
    </xf>
    <xf numFmtId="2" fontId="14" fillId="0" borderId="27" xfId="0" applyNumberFormat="1" applyFont="1" applyFill="1" applyBorder="1"/>
    <xf numFmtId="0" fontId="20" fillId="0" borderId="0" xfId="0" applyFont="1" applyProtection="1">
      <protection locked="0"/>
    </xf>
    <xf numFmtId="0" fontId="20" fillId="0" borderId="0" xfId="0" applyFont="1" applyBorder="1" applyProtection="1">
      <protection locked="0"/>
    </xf>
    <xf numFmtId="0" fontId="43" fillId="0" borderId="0" xfId="0" applyFont="1" applyProtection="1">
      <protection locked="0"/>
    </xf>
    <xf numFmtId="0" fontId="20" fillId="0" borderId="0" xfId="0" applyFont="1" applyFill="1" applyProtection="1">
      <protection locked="0"/>
    </xf>
    <xf numFmtId="0" fontId="43" fillId="0" borderId="0" xfId="0" applyFont="1" applyFill="1" applyProtection="1">
      <protection locked="0"/>
    </xf>
    <xf numFmtId="10" fontId="44" fillId="6" borderId="0" xfId="3" applyNumberFormat="1" applyFont="1" applyFill="1" applyAlignment="1" applyProtection="1">
      <alignment horizontal="center" vertical="center" shrinkToFit="1"/>
      <protection locked="0"/>
    </xf>
    <xf numFmtId="2" fontId="20" fillId="0" borderId="0" xfId="3" applyNumberFormat="1" applyFont="1" applyProtection="1">
      <protection locked="0"/>
    </xf>
    <xf numFmtId="10" fontId="40" fillId="0" borderId="0" xfId="3" applyNumberFormat="1" applyFont="1" applyBorder="1" applyAlignment="1" applyProtection="1">
      <alignment horizontal="center" vertical="center"/>
      <protection locked="0"/>
    </xf>
    <xf numFmtId="0" fontId="45" fillId="5" borderId="0" xfId="0" applyFont="1" applyFill="1" applyAlignment="1">
      <alignment vertical="top"/>
    </xf>
    <xf numFmtId="17" fontId="46" fillId="0" borderId="0" xfId="0" applyNumberFormat="1" applyFont="1" applyFill="1" applyBorder="1" applyAlignment="1" applyProtection="1">
      <alignment horizontal="left" vertical="center"/>
      <protection locked="0"/>
    </xf>
    <xf numFmtId="0" fontId="35" fillId="0" borderId="0" xfId="4" applyFont="1" applyFill="1" applyBorder="1" applyAlignment="1" applyProtection="1">
      <alignment vertical="center"/>
      <protection locked="0"/>
    </xf>
    <xf numFmtId="0" fontId="47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17" fillId="0" borderId="0" xfId="0" applyFont="1"/>
    <xf numFmtId="0" fontId="1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vertical="center"/>
    </xf>
    <xf numFmtId="17" fontId="34" fillId="5" borderId="0" xfId="5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 applyProtection="1">
      <protection locked="0"/>
    </xf>
    <xf numFmtId="0" fontId="46" fillId="0" borderId="0" xfId="0" applyFont="1" applyFill="1" applyBorder="1" applyAlignment="1" applyProtection="1">
      <alignment vertical="center"/>
      <protection locked="0"/>
    </xf>
    <xf numFmtId="0" fontId="46" fillId="0" borderId="0" xfId="0" applyNumberFormat="1" applyFont="1" applyFill="1" applyBorder="1" applyAlignment="1" applyProtection="1">
      <alignment vertical="center"/>
      <protection locked="0"/>
    </xf>
    <xf numFmtId="17" fontId="48" fillId="0" borderId="0" xfId="0" applyNumberFormat="1" applyFont="1" applyFill="1" applyBorder="1" applyAlignment="1" applyProtection="1">
      <alignment horizontal="center" vertical="center"/>
      <protection locked="0"/>
    </xf>
    <xf numFmtId="10" fontId="40" fillId="0" borderId="0" xfId="3" applyNumberFormat="1" applyFont="1" applyFill="1" applyBorder="1" applyAlignment="1" applyProtection="1">
      <alignment vertical="center"/>
      <protection locked="0"/>
    </xf>
    <xf numFmtId="17" fontId="13" fillId="0" borderId="49" xfId="1" applyNumberFormat="1" applyFont="1" applyFill="1" applyBorder="1" applyAlignment="1">
      <alignment horizontal="left" vertical="center"/>
    </xf>
    <xf numFmtId="166" fontId="14" fillId="0" borderId="50" xfId="0" applyNumberFormat="1" applyFont="1" applyFill="1" applyBorder="1" applyAlignment="1">
      <alignment horizontal="right"/>
    </xf>
    <xf numFmtId="2" fontId="14" fillId="0" borderId="50" xfId="0" applyNumberFormat="1" applyFont="1" applyFill="1" applyBorder="1" applyAlignment="1">
      <alignment horizontal="right"/>
    </xf>
    <xf numFmtId="4" fontId="14" fillId="0" borderId="50" xfId="0" applyNumberFormat="1" applyFont="1" applyFill="1" applyBorder="1" applyAlignment="1">
      <alignment horizontal="right"/>
    </xf>
    <xf numFmtId="40" fontId="14" fillId="0" borderId="50" xfId="0" applyNumberFormat="1" applyFont="1" applyFill="1" applyBorder="1" applyAlignment="1">
      <alignment horizontal="right"/>
    </xf>
    <xf numFmtId="2" fontId="14" fillId="0" borderId="50" xfId="0" applyNumberFormat="1" applyFont="1" applyFill="1" applyBorder="1"/>
    <xf numFmtId="2" fontId="14" fillId="0" borderId="51" xfId="0" applyNumberFormat="1" applyFont="1" applyFill="1" applyBorder="1"/>
    <xf numFmtId="166" fontId="14" fillId="0" borderId="48" xfId="0" applyNumberFormat="1" applyFont="1" applyFill="1" applyBorder="1" applyAlignment="1">
      <alignment horizontal="right"/>
    </xf>
    <xf numFmtId="17" fontId="13" fillId="4" borderId="19" xfId="1" applyNumberFormat="1" applyFont="1" applyFill="1" applyBorder="1" applyAlignment="1">
      <alignment horizontal="left"/>
    </xf>
    <xf numFmtId="165" fontId="14" fillId="0" borderId="21" xfId="0" applyNumberFormat="1" applyFont="1" applyFill="1" applyBorder="1" applyAlignment="1">
      <alignment horizontal="right"/>
    </xf>
    <xf numFmtId="17" fontId="13" fillId="4" borderId="23" xfId="1" applyNumberFormat="1" applyFont="1" applyFill="1" applyBorder="1" applyAlignment="1">
      <alignment horizontal="left"/>
    </xf>
    <xf numFmtId="165" fontId="14" fillId="0" borderId="25" xfId="0" applyNumberFormat="1" applyFont="1" applyFill="1" applyBorder="1" applyAlignment="1">
      <alignment horizontal="right"/>
    </xf>
    <xf numFmtId="164" fontId="14" fillId="0" borderId="23" xfId="0" applyNumberFormat="1" applyFont="1" applyFill="1" applyBorder="1"/>
    <xf numFmtId="17" fontId="13" fillId="4" borderId="49" xfId="1" applyNumberFormat="1" applyFont="1" applyFill="1" applyBorder="1" applyAlignment="1">
      <alignment horizontal="left"/>
    </xf>
    <xf numFmtId="164" fontId="14" fillId="0" borderId="50" xfId="0" applyNumberFormat="1" applyFont="1" applyFill="1" applyBorder="1" applyAlignment="1">
      <alignment horizontal="right"/>
    </xf>
    <xf numFmtId="40" fontId="14" fillId="0" borderId="50" xfId="0" applyNumberFormat="1" applyFont="1" applyFill="1" applyBorder="1"/>
    <xf numFmtId="165" fontId="14" fillId="0" borderId="48" xfId="0" applyNumberFormat="1" applyFont="1" applyFill="1" applyBorder="1" applyAlignment="1">
      <alignment horizontal="right"/>
    </xf>
    <xf numFmtId="169" fontId="14" fillId="0" borderId="19" xfId="0" applyNumberFormat="1" applyFont="1" applyFill="1" applyBorder="1" applyAlignment="1">
      <alignment horizontal="right"/>
    </xf>
    <xf numFmtId="169" fontId="14" fillId="0" borderId="23" xfId="0" applyNumberFormat="1" applyFont="1" applyFill="1" applyBorder="1" applyAlignment="1">
      <alignment horizontal="right"/>
    </xf>
    <xf numFmtId="168" fontId="14" fillId="0" borderId="23" xfId="0" applyNumberFormat="1" applyFont="1" applyFill="1" applyBorder="1" applyAlignment="1">
      <alignment horizontal="right"/>
    </xf>
    <xf numFmtId="168" fontId="14" fillId="0" borderId="24" xfId="0" applyNumberFormat="1" applyFont="1" applyFill="1" applyBorder="1" applyAlignment="1">
      <alignment horizontal="right"/>
    </xf>
    <xf numFmtId="168" fontId="14" fillId="0" borderId="23" xfId="0" applyNumberFormat="1" applyFont="1" applyFill="1" applyBorder="1"/>
    <xf numFmtId="168" fontId="14" fillId="0" borderId="24" xfId="0" applyNumberFormat="1" applyFont="1" applyFill="1" applyBorder="1"/>
    <xf numFmtId="169" fontId="14" fillId="0" borderId="50" xfId="0" applyNumberFormat="1" applyFont="1" applyFill="1" applyBorder="1" applyAlignment="1">
      <alignment horizontal="right"/>
    </xf>
    <xf numFmtId="168" fontId="14" fillId="0" borderId="50" xfId="0" applyNumberFormat="1" applyFont="1" applyFill="1" applyBorder="1" applyAlignment="1">
      <alignment horizontal="right"/>
    </xf>
    <xf numFmtId="168" fontId="14" fillId="0" borderId="50" xfId="0" applyNumberFormat="1" applyFont="1" applyFill="1" applyBorder="1"/>
    <xf numFmtId="168" fontId="14" fillId="0" borderId="51" xfId="0" applyNumberFormat="1" applyFont="1" applyFill="1" applyBorder="1"/>
    <xf numFmtId="164" fontId="31" fillId="0" borderId="19" xfId="0" applyNumberFormat="1" applyFont="1" applyFill="1" applyBorder="1" applyAlignment="1">
      <alignment horizontal="right"/>
    </xf>
    <xf numFmtId="4" fontId="31" fillId="0" borderId="19" xfId="0" applyNumberFormat="1" applyFont="1" applyFill="1" applyBorder="1" applyAlignment="1">
      <alignment horizontal="right"/>
    </xf>
    <xf numFmtId="4" fontId="31" fillId="0" borderId="20" xfId="0" applyNumberFormat="1" applyFont="1" applyFill="1" applyBorder="1" applyAlignment="1">
      <alignment horizontal="right"/>
    </xf>
    <xf numFmtId="165" fontId="31" fillId="0" borderId="21" xfId="0" applyNumberFormat="1" applyFont="1" applyFill="1" applyBorder="1" applyAlignment="1">
      <alignment horizontal="right"/>
    </xf>
    <xf numFmtId="164" fontId="31" fillId="0" borderId="23" xfId="0" applyNumberFormat="1" applyFont="1" applyFill="1" applyBorder="1" applyAlignment="1">
      <alignment horizontal="right"/>
    </xf>
    <xf numFmtId="4" fontId="31" fillId="0" borderId="23" xfId="0" applyNumberFormat="1" applyFont="1" applyFill="1" applyBorder="1" applyAlignment="1">
      <alignment horizontal="right"/>
    </xf>
    <xf numFmtId="167" fontId="31" fillId="0" borderId="23" xfId="0" applyNumberFormat="1" applyFont="1" applyFill="1" applyBorder="1" applyAlignment="1">
      <alignment horizontal="right"/>
    </xf>
    <xf numFmtId="4" fontId="31" fillId="0" borderId="24" xfId="0" applyNumberFormat="1" applyFont="1" applyFill="1" applyBorder="1" applyAlignment="1">
      <alignment horizontal="right"/>
    </xf>
    <xf numFmtId="165" fontId="31" fillId="0" borderId="25" xfId="0" applyNumberFormat="1" applyFont="1" applyFill="1" applyBorder="1" applyAlignment="1">
      <alignment horizontal="right"/>
    </xf>
    <xf numFmtId="167" fontId="31" fillId="0" borderId="23" xfId="0" applyNumberFormat="1" applyFont="1" applyFill="1" applyBorder="1"/>
    <xf numFmtId="2" fontId="31" fillId="0" borderId="24" xfId="0" applyNumberFormat="1" applyFont="1" applyFill="1" applyBorder="1"/>
    <xf numFmtId="164" fontId="30" fillId="0" borderId="23" xfId="0" applyNumberFormat="1" applyFont="1" applyFill="1" applyBorder="1" applyAlignment="1">
      <alignment horizontal="right"/>
    </xf>
    <xf numFmtId="167" fontId="31" fillId="0" borderId="24" xfId="0" applyNumberFormat="1" applyFont="1" applyFill="1" applyBorder="1"/>
    <xf numFmtId="164" fontId="31" fillId="0" borderId="23" xfId="0" applyNumberFormat="1" applyFont="1" applyFill="1" applyBorder="1"/>
    <xf numFmtId="164" fontId="30" fillId="0" borderId="23" xfId="0" applyNumberFormat="1" applyFont="1" applyFill="1" applyBorder="1"/>
    <xf numFmtId="164" fontId="31" fillId="0" borderId="50" xfId="0" applyNumberFormat="1" applyFont="1" applyFill="1" applyBorder="1"/>
    <xf numFmtId="4" fontId="31" fillId="0" borderId="50" xfId="0" applyNumberFormat="1" applyFont="1" applyFill="1" applyBorder="1" applyAlignment="1">
      <alignment horizontal="right"/>
    </xf>
    <xf numFmtId="167" fontId="31" fillId="0" borderId="50" xfId="0" applyNumberFormat="1" applyFont="1" applyFill="1" applyBorder="1" applyAlignment="1">
      <alignment horizontal="right"/>
    </xf>
    <xf numFmtId="167" fontId="31" fillId="0" borderId="50" xfId="0" applyNumberFormat="1" applyFont="1" applyFill="1" applyBorder="1"/>
    <xf numFmtId="167" fontId="31" fillId="0" borderId="51" xfId="0" applyNumberFormat="1" applyFont="1" applyFill="1" applyBorder="1"/>
    <xf numFmtId="165" fontId="31" fillId="0" borderId="48" xfId="0" applyNumberFormat="1" applyFont="1" applyFill="1" applyBorder="1" applyAlignment="1">
      <alignment horizontal="right"/>
    </xf>
    <xf numFmtId="17" fontId="13" fillId="4" borderId="26" xfId="1" applyNumberFormat="1" applyFont="1" applyFill="1" applyBorder="1" applyAlignment="1">
      <alignment horizontal="left"/>
    </xf>
    <xf numFmtId="164" fontId="14" fillId="0" borderId="27" xfId="0" applyNumberFormat="1" applyFont="1" applyFill="1" applyBorder="1" applyAlignment="1">
      <alignment horizontal="right"/>
    </xf>
    <xf numFmtId="40" fontId="14" fillId="0" borderId="27" xfId="0" applyNumberFormat="1" applyFont="1" applyFill="1" applyBorder="1"/>
    <xf numFmtId="165" fontId="14" fillId="0" borderId="52" xfId="0" applyNumberFormat="1" applyFont="1" applyFill="1" applyBorder="1" applyAlignment="1">
      <alignment horizontal="right"/>
    </xf>
    <xf numFmtId="166" fontId="14" fillId="0" borderId="52" xfId="0" applyNumberFormat="1" applyFont="1" applyFill="1" applyBorder="1" applyAlignment="1">
      <alignment horizontal="right"/>
    </xf>
    <xf numFmtId="169" fontId="14" fillId="0" borderId="27" xfId="0" applyNumberFormat="1" applyFont="1" applyFill="1" applyBorder="1" applyAlignment="1">
      <alignment horizontal="right"/>
    </xf>
    <xf numFmtId="168" fontId="14" fillId="0" borderId="27" xfId="0" applyNumberFormat="1" applyFont="1" applyFill="1" applyBorder="1" applyAlignment="1">
      <alignment horizontal="right"/>
    </xf>
    <xf numFmtId="168" fontId="14" fillId="0" borderId="27" xfId="0" applyNumberFormat="1" applyFont="1" applyFill="1" applyBorder="1"/>
    <xf numFmtId="168" fontId="14" fillId="0" borderId="28" xfId="0" applyNumberFormat="1" applyFont="1" applyFill="1" applyBorder="1"/>
    <xf numFmtId="164" fontId="31" fillId="0" borderId="27" xfId="0" applyNumberFormat="1" applyFont="1" applyFill="1" applyBorder="1"/>
    <xf numFmtId="4" fontId="31" fillId="0" borderId="27" xfId="0" applyNumberFormat="1" applyFont="1" applyFill="1" applyBorder="1" applyAlignment="1">
      <alignment horizontal="right"/>
    </xf>
    <xf numFmtId="167" fontId="31" fillId="0" borderId="27" xfId="0" applyNumberFormat="1" applyFont="1" applyFill="1" applyBorder="1" applyAlignment="1">
      <alignment horizontal="right"/>
    </xf>
    <xf numFmtId="167" fontId="31" fillId="0" borderId="27" xfId="0" applyNumberFormat="1" applyFont="1" applyFill="1" applyBorder="1"/>
    <xf numFmtId="167" fontId="31" fillId="0" borderId="28" xfId="0" applyNumberFormat="1" applyFont="1" applyFill="1" applyBorder="1"/>
    <xf numFmtId="165" fontId="31" fillId="0" borderId="52" xfId="0" applyNumberFormat="1" applyFont="1" applyFill="1" applyBorder="1" applyAlignment="1">
      <alignment horizontal="right"/>
    </xf>
    <xf numFmtId="17" fontId="10" fillId="2" borderId="15" xfId="0" applyNumberFormat="1" applyFont="1" applyFill="1" applyBorder="1" applyAlignment="1">
      <alignment horizontal="left" vertical="center"/>
    </xf>
    <xf numFmtId="17" fontId="10" fillId="2" borderId="16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quotePrefix="1" applyNumberFormat="1" applyFont="1" applyFill="1" applyBorder="1" applyAlignment="1">
      <alignment horizontal="center" vertical="center"/>
    </xf>
    <xf numFmtId="0" fontId="6" fillId="2" borderId="3" xfId="0" quotePrefix="1" applyNumberFormat="1" applyFont="1" applyFill="1" applyBorder="1" applyAlignment="1">
      <alignment horizontal="center" vertical="center"/>
    </xf>
    <xf numFmtId="0" fontId="6" fillId="2" borderId="6" xfId="0" quotePrefix="1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9" xfId="0" applyNumberFormat="1" applyFont="1" applyFill="1" applyBorder="1" applyAlignment="1">
      <alignment horizontal="center" vertical="center"/>
    </xf>
    <xf numFmtId="0" fontId="8" fillId="3" borderId="10" xfId="0" applyNumberFormat="1" applyFont="1" applyFill="1" applyBorder="1" applyAlignment="1">
      <alignment horizontal="center" vertical="center"/>
    </xf>
    <xf numFmtId="0" fontId="8" fillId="3" borderId="8" xfId="0" applyNumberFormat="1" applyFont="1" applyFill="1" applyBorder="1" applyAlignment="1">
      <alignment horizontal="center" vertical="center"/>
    </xf>
    <xf numFmtId="0" fontId="8" fillId="3" borderId="9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17" fontId="10" fillId="2" borderId="31" xfId="0" applyNumberFormat="1" applyFont="1" applyFill="1" applyBorder="1" applyAlignment="1">
      <alignment horizontal="left" vertical="center"/>
    </xf>
    <xf numFmtId="17" fontId="10" fillId="2" borderId="32" xfId="0" applyNumberFormat="1" applyFont="1" applyFill="1" applyBorder="1" applyAlignment="1">
      <alignment horizontal="left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37" xfId="0" applyFont="1" applyFill="1" applyBorder="1" applyAlignment="1">
      <alignment horizontal="center" vertical="center"/>
    </xf>
    <xf numFmtId="0" fontId="6" fillId="2" borderId="37" xfId="0" quotePrefix="1" applyNumberFormat="1" applyFont="1" applyFill="1" applyBorder="1" applyAlignment="1">
      <alignment horizontal="center" vertical="center"/>
    </xf>
    <xf numFmtId="0" fontId="6" fillId="2" borderId="38" xfId="0" quotePrefix="1" applyNumberFormat="1" applyFont="1" applyFill="1" applyBorder="1" applyAlignment="1">
      <alignment horizontal="center" vertical="center"/>
    </xf>
    <xf numFmtId="0" fontId="7" fillId="3" borderId="12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right" vertical="center"/>
    </xf>
    <xf numFmtId="0" fontId="23" fillId="2" borderId="34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center" vertical="center"/>
    </xf>
    <xf numFmtId="0" fontId="24" fillId="2" borderId="35" xfId="0" quotePrefix="1" applyNumberFormat="1" applyFont="1" applyFill="1" applyBorder="1" applyAlignment="1">
      <alignment horizontal="center" vertical="center"/>
    </xf>
    <xf numFmtId="0" fontId="24" fillId="2" borderId="36" xfId="0" quotePrefix="1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0" fontId="25" fillId="3" borderId="37" xfId="0" applyNumberFormat="1" applyFont="1" applyFill="1" applyBorder="1" applyAlignment="1">
      <alignment horizontal="center" vertical="center"/>
    </xf>
    <xf numFmtId="0" fontId="26" fillId="3" borderId="37" xfId="0" applyNumberFormat="1" applyFont="1" applyFill="1" applyBorder="1" applyAlignment="1">
      <alignment horizontal="center"/>
    </xf>
    <xf numFmtId="0" fontId="25" fillId="3" borderId="38" xfId="0" applyFont="1" applyFill="1" applyBorder="1" applyAlignment="1">
      <alignment horizontal="center" vertical="center" wrapText="1"/>
    </xf>
    <xf numFmtId="0" fontId="25" fillId="3" borderId="39" xfId="0" applyFont="1" applyFill="1" applyBorder="1" applyAlignment="1">
      <alignment horizontal="center" vertical="center" wrapText="1"/>
    </xf>
    <xf numFmtId="0" fontId="49" fillId="0" borderId="47" xfId="4" applyFont="1" applyFill="1" applyBorder="1" applyAlignment="1" applyProtection="1">
      <alignment horizontal="center" vertical="center" wrapText="1"/>
      <protection locked="0"/>
    </xf>
    <xf numFmtId="0" fontId="50" fillId="0" borderId="0" xfId="4" applyFont="1" applyFill="1" applyBorder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right" vertical="center"/>
      <protection locked="0"/>
    </xf>
    <xf numFmtId="10" fontId="16" fillId="0" borderId="0" xfId="3" applyNumberFormat="1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1" fillId="5" borderId="0" xfId="0" applyFont="1" applyFill="1" applyAlignment="1">
      <alignment vertical="top"/>
    </xf>
    <xf numFmtId="10" fontId="20" fillId="0" borderId="0" xfId="3" applyNumberFormat="1" applyFont="1" applyProtection="1">
      <protection locked="0"/>
    </xf>
    <xf numFmtId="0" fontId="52" fillId="5" borderId="0" xfId="0" applyFont="1" applyFill="1" applyAlignment="1">
      <alignment horizontal="center" vertical="top"/>
    </xf>
    <xf numFmtId="0" fontId="36" fillId="0" borderId="0" xfId="0" applyFont="1" applyFill="1" applyProtection="1">
      <protection locked="0"/>
    </xf>
  </cellXfs>
  <cellStyles count="10">
    <cellStyle name="Moeda 2" xfId="8" xr:uid="{00000000-0005-0000-0000-000000000000}"/>
    <cellStyle name="Normal" xfId="0" builtinId="0"/>
    <cellStyle name="Normal 2" xfId="5" xr:uid="{00000000-0005-0000-0000-000002000000}"/>
    <cellStyle name="Normal 3" xfId="1" xr:uid="{00000000-0005-0000-0000-000003000000}"/>
    <cellStyle name="Normal 4" xfId="6" xr:uid="{00000000-0005-0000-0000-000004000000}"/>
    <cellStyle name="Normal_FRACIONADA_12_2007" xfId="4" xr:uid="{00000000-0005-0000-0000-000005000000}"/>
    <cellStyle name="Porcentagem" xfId="3" builtinId="5"/>
    <cellStyle name="Vírgula" xfId="2" builtinId="3"/>
    <cellStyle name="Vírgula 2" xfId="7" xr:uid="{00000000-0005-0000-0000-000008000000}"/>
    <cellStyle name="Vírgula 3" xfId="9" xr:uid="{00000000-0005-0000-0000-000009000000}"/>
  </cellStyles>
  <dxfs count="0"/>
  <tableStyles count="0" defaultTableStyle="TableStyleMedium2" defaultPivotStyle="PivotStyleLight16"/>
  <colors>
    <mruColors>
      <color rgb="FF184782"/>
      <color rgb="FFCF9E4D"/>
      <color rgb="FFD99694"/>
      <color rgb="FFFBD7BB"/>
      <color rgb="FFCECE9E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84" Type="http://schemas.openxmlformats.org/officeDocument/2006/relationships/externalLink" Target="externalLinks/externalLink78.xml"/><Relationship Id="rId89" Type="http://schemas.openxmlformats.org/officeDocument/2006/relationships/externalLink" Target="externalLinks/externalLink83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92" Type="http://schemas.openxmlformats.org/officeDocument/2006/relationships/externalLink" Target="externalLinks/externalLink8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79" Type="http://schemas.openxmlformats.org/officeDocument/2006/relationships/externalLink" Target="externalLinks/externalLink73.xml"/><Relationship Id="rId87" Type="http://schemas.openxmlformats.org/officeDocument/2006/relationships/externalLink" Target="externalLinks/externalLink81.xml"/><Relationship Id="rId10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82" Type="http://schemas.openxmlformats.org/officeDocument/2006/relationships/externalLink" Target="externalLinks/externalLink76.xml"/><Relationship Id="rId90" Type="http://schemas.openxmlformats.org/officeDocument/2006/relationships/externalLink" Target="externalLinks/externalLink84.xml"/><Relationship Id="rId95" Type="http://schemas.openxmlformats.org/officeDocument/2006/relationships/externalLink" Target="externalLinks/externalLink89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externalLink" Target="externalLinks/externalLink71.xml"/><Relationship Id="rId100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80" Type="http://schemas.openxmlformats.org/officeDocument/2006/relationships/externalLink" Target="externalLinks/externalLink74.xml"/><Relationship Id="rId85" Type="http://schemas.openxmlformats.org/officeDocument/2006/relationships/externalLink" Target="externalLinks/externalLink79.xml"/><Relationship Id="rId93" Type="http://schemas.openxmlformats.org/officeDocument/2006/relationships/externalLink" Target="externalLinks/externalLink87.xml"/><Relationship Id="rId98" Type="http://schemas.openxmlformats.org/officeDocument/2006/relationships/externalLink" Target="externalLinks/externalLink9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103" Type="http://schemas.openxmlformats.org/officeDocument/2006/relationships/calcChain" Target="calcChain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83" Type="http://schemas.openxmlformats.org/officeDocument/2006/relationships/externalLink" Target="externalLinks/externalLink77.xml"/><Relationship Id="rId88" Type="http://schemas.openxmlformats.org/officeDocument/2006/relationships/externalLink" Target="externalLinks/externalLink82.xml"/><Relationship Id="rId91" Type="http://schemas.openxmlformats.org/officeDocument/2006/relationships/externalLink" Target="externalLinks/externalLink85.xml"/><Relationship Id="rId96" Type="http://schemas.openxmlformats.org/officeDocument/2006/relationships/externalLink" Target="externalLinks/externalLink9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externalLink" Target="externalLinks/externalLink75.xml"/><Relationship Id="rId86" Type="http://schemas.openxmlformats.org/officeDocument/2006/relationships/externalLink" Target="externalLinks/externalLink80.xml"/><Relationship Id="rId94" Type="http://schemas.openxmlformats.org/officeDocument/2006/relationships/externalLink" Target="externalLinks/externalLink88.xml"/><Relationship Id="rId99" Type="http://schemas.openxmlformats.org/officeDocument/2006/relationships/externalLink" Target="externalLinks/externalLink93.xml"/><Relationship Id="rId10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76" Type="http://schemas.openxmlformats.org/officeDocument/2006/relationships/externalLink" Target="externalLinks/externalLink70.xml"/><Relationship Id="rId97" Type="http://schemas.openxmlformats.org/officeDocument/2006/relationships/externalLink" Target="externalLinks/externalLink9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/>
        <a:lstStyle/>
        <a:p>
          <a:pPr>
            <a:defRPr sz="1600">
              <a:solidFill>
                <a:srgbClr val="184782"/>
              </a:solidFill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Painel!$I$2</c:f>
              <c:strCache>
                <c:ptCount val="1"/>
                <c:pt idx="0">
                  <c:v>VARIAÇÃO DOS INSUMOS DE TRANSPORTES (%) ABRIL|17 - ABRIL|18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B67-4F7C-80F3-64FBD72EDFE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B67-4F7C-80F3-64FBD72EDFE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B67-4F7C-80F3-64FBD72EDFE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B67-4F7C-80F3-64FBD72EDFE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B67-4F7C-80F3-64FBD72EDFE5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B67-4F7C-80F3-64FBD72EDFE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B67-4F7C-80F3-64FBD72EDF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 i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Painel!$G$4:$G$8</c:f>
              <c:strCache>
                <c:ptCount val="5"/>
                <c:pt idx="0">
                  <c:v>Diesel Comum</c:v>
                </c:pt>
                <c:pt idx="1">
                  <c:v>Diesel  S-10</c:v>
                </c:pt>
                <c:pt idx="2">
                  <c:v>Arla 32</c:v>
                </c:pt>
                <c:pt idx="3">
                  <c:v>Gasolina</c:v>
                </c:pt>
                <c:pt idx="4">
                  <c:v>Etanol</c:v>
                </c:pt>
              </c:strCache>
            </c:strRef>
          </c:cat>
          <c:val>
            <c:numRef>
              <c:f>Painel!$H$4:$H$8</c:f>
              <c:numCache>
                <c:formatCode>0.00%</c:formatCode>
                <c:ptCount val="5"/>
                <c:pt idx="0">
                  <c:v>0.13213811420982746</c:v>
                </c:pt>
                <c:pt idx="1">
                  <c:v>0.10875079264426146</c:v>
                </c:pt>
                <c:pt idx="2">
                  <c:v>-0.23733184637903404</c:v>
                </c:pt>
                <c:pt idx="3">
                  <c:v>0.16050744622173196</c:v>
                </c:pt>
                <c:pt idx="4">
                  <c:v>0.15449330783938819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B67-4F7C-80F3-64FBD72EDF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9026560"/>
        <c:axId val="241500928"/>
      </c:barChart>
      <c:catAx>
        <c:axId val="199026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1020000"/>
          <a:lstStyle/>
          <a:p>
            <a:pPr>
              <a:defRPr/>
            </a:pPr>
            <a:endParaRPr lang="pt-BR"/>
          </a:p>
        </c:txPr>
        <c:crossAx val="241500928"/>
        <c:crosses val="autoZero"/>
        <c:auto val="1"/>
        <c:lblAlgn val="ctr"/>
        <c:lblOffset val="100"/>
        <c:noMultiLvlLbl val="0"/>
      </c:catAx>
      <c:valAx>
        <c:axId val="24150092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99026560"/>
        <c:crosses val="autoZero"/>
        <c:crossBetween val="between"/>
      </c:valAx>
    </c:plotArea>
    <c:plotVisOnly val="1"/>
    <c:dispBlanksAs val="gap"/>
    <c:showDLblsOverMax val="0"/>
  </c:chart>
  <c:spPr>
    <a:ln w="15875" cap="rnd">
      <a:solidFill>
        <a:srgbClr val="184782"/>
      </a:solidFill>
    </a:ln>
  </c:sp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333399"/>
                </a:solidFill>
                <a:latin typeface="Calibri Light"/>
                <a:ea typeface="Calibri Light"/>
                <a:cs typeface="Calibri Light"/>
              </a:defRPr>
            </a:pPr>
            <a:r>
              <a:rPr lang="pt-BR"/>
              <a:t>EVOLUÇÃO DO PREÇO DO DIESEL - S10 NO S ÚLTIMOS  12 MESES (EM REAIS)</a:t>
            </a:r>
          </a:p>
        </c:rich>
      </c:tx>
      <c:layout>
        <c:manualLayout>
          <c:xMode val="edge"/>
          <c:yMode val="edge"/>
          <c:x val="0.14851457293328529"/>
          <c:y val="5.73439446074602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40834369388038"/>
          <c:y val="0.23124261579978558"/>
          <c:w val="0.84287641910373856"/>
          <c:h val="0.50417368214192204"/>
        </c:manualLayout>
      </c:layout>
      <c:lineChart>
        <c:grouping val="standard"/>
        <c:varyColors val="1"/>
        <c:ser>
          <c:idx val="0"/>
          <c:order val="0"/>
          <c:tx>
            <c:strRef>
              <c:f>Diesel_S10!$A$69:$A$81</c:f>
              <c:strCache>
                <c:ptCount val="13"/>
                <c:pt idx="0">
                  <c:v>ABRIL|17</c:v>
                </c:pt>
                <c:pt idx="1">
                  <c:v>MAIO|17</c:v>
                </c:pt>
                <c:pt idx="2">
                  <c:v>JUNHO|17</c:v>
                </c:pt>
                <c:pt idx="3">
                  <c:v>JULHO|17</c:v>
                </c:pt>
                <c:pt idx="4">
                  <c:v>AGOSTO|17</c:v>
                </c:pt>
                <c:pt idx="5">
                  <c:v>SETEMBRO|17</c:v>
                </c:pt>
                <c:pt idx="6">
                  <c:v>OUTUBRO|17</c:v>
                </c:pt>
                <c:pt idx="7">
                  <c:v>NOVEMBRO|17</c:v>
                </c:pt>
                <c:pt idx="8">
                  <c:v>DEZEMBRO|17</c:v>
                </c:pt>
                <c:pt idx="9">
                  <c:v>JANEIRO|18</c:v>
                </c:pt>
                <c:pt idx="10">
                  <c:v>FEVEREIRO|18</c:v>
                </c:pt>
                <c:pt idx="11">
                  <c:v>MARÇO|18</c:v>
                </c:pt>
                <c:pt idx="12">
                  <c:v>ABRIL|18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rgbClr val="FFFF00"/>
              </a:solidFill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AB-40C6-8532-639E0DC4DA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AB-40C6-8532-639E0DC4DA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AB-40C6-8532-639E0DC4DA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AAB-40C6-8532-639E0DC4DA1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AAB-40C6-8532-639E0DC4DA1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AAB-40C6-8532-639E0DC4DA1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AAB-40C6-8532-639E0DC4DA1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AAB-40C6-8532-639E0DC4DA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AAB-40C6-8532-639E0DC4DA1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AAB-40C6-8532-639E0DC4DA1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AAB-40C6-8532-639E0DC4DA10}"/>
              </c:ext>
            </c:extLst>
          </c:dPt>
          <c:dPt>
            <c:idx val="11"/>
            <c:marker>
              <c:spPr>
                <a:solidFill>
                  <a:srgbClr val="FFFF00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1AAB-40C6-8532-639E0DC4DA1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AAB-40C6-8532-639E0DC4DA10}"/>
              </c:ext>
            </c:extLst>
          </c:dPt>
          <c:dLbls>
            <c:dLbl>
              <c:idx val="0"/>
              <c:layout>
                <c:manualLayout>
                  <c:x val="-4.3064511672882992E-2"/>
                  <c:y val="-3.59965990166722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B-40C6-8532-639E0DC4DA10}"/>
                </c:ext>
              </c:extLst>
            </c:dLbl>
            <c:dLbl>
              <c:idx val="1"/>
              <c:layout>
                <c:manualLayout>
                  <c:x val="-5.8580835290325553E-2"/>
                  <c:y val="4.1267531699382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AB-40C6-8532-639E0DC4DA10}"/>
                </c:ext>
              </c:extLst>
            </c:dLbl>
            <c:dLbl>
              <c:idx val="2"/>
              <c:layout>
                <c:manualLayout>
                  <c:x val="-4.9242528894414515E-2"/>
                  <c:y val="-3.9742708217810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B-40C6-8532-639E0DC4DA10}"/>
                </c:ext>
              </c:extLst>
            </c:dLbl>
            <c:dLbl>
              <c:idx val="3"/>
              <c:layout>
                <c:manualLayout>
                  <c:x val="-4.4284201316940643E-2"/>
                  <c:y val="3.713459761191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AB-40C6-8532-639E0DC4DA10}"/>
                </c:ext>
              </c:extLst>
            </c:dLbl>
            <c:dLbl>
              <c:idx val="4"/>
              <c:layout>
                <c:manualLayout>
                  <c:x val="-5.2858866325919789E-2"/>
                  <c:y val="-3.74797234852685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AB-40C6-8532-639E0DC4DA10}"/>
                </c:ext>
              </c:extLst>
            </c:dLbl>
            <c:dLbl>
              <c:idx val="5"/>
              <c:layout>
                <c:manualLayout>
                  <c:x val="-2.3124925173826957E-2"/>
                  <c:y val="1.4332926694022334E-2"/>
                </c:manualLayout>
              </c:layout>
              <c:spPr>
                <a:ln>
                  <a:noFill/>
                </a:ln>
              </c:spPr>
              <c:txPr>
                <a:bodyPr rot="-180000" vert="horz"/>
                <a:lstStyle/>
                <a:p>
                  <a:pPr algn="ctr">
                    <a:defRPr sz="1050" b="1" i="1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AB-40C6-8532-639E0DC4DA10}"/>
                </c:ext>
              </c:extLst>
            </c:dLbl>
            <c:dLbl>
              <c:idx val="6"/>
              <c:layout>
                <c:manualLayout>
                  <c:x val="-5.2093824240349404E-2"/>
                  <c:y val="4.3429291338582615E-2"/>
                </c:manualLayout>
              </c:layout>
              <c:spPr>
                <a:ln>
                  <a:noFill/>
                </a:ln>
              </c:spPr>
              <c:txPr>
                <a:bodyPr rot="-180000" vert="horz"/>
                <a:lstStyle/>
                <a:p>
                  <a:pPr algn="ctr">
                    <a:defRPr sz="1050" b="1" i="1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AB-40C6-8532-639E0DC4DA10}"/>
                </c:ext>
              </c:extLst>
            </c:dLbl>
            <c:dLbl>
              <c:idx val="7"/>
              <c:layout>
                <c:manualLayout>
                  <c:x val="-4.9525625086337892E-2"/>
                  <c:y val="-3.8337954234593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AB-40C6-8532-639E0DC4DA10}"/>
                </c:ext>
              </c:extLst>
            </c:dLbl>
            <c:dLbl>
              <c:idx val="8"/>
              <c:layout>
                <c:manualLayout>
                  <c:x val="-2.7317401114334391E-2"/>
                  <c:y val="6.3921925252301212E-2"/>
                </c:manualLayout>
              </c:layout>
              <c:spPr>
                <a:ln>
                  <a:noFill/>
                </a:ln>
              </c:spPr>
              <c:txPr>
                <a:bodyPr rot="-180000" vert="horz"/>
                <a:lstStyle/>
                <a:p>
                  <a:pPr algn="ctr">
                    <a:defRPr sz="1050" b="1" i="1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AB-40C6-8532-639E0DC4DA10}"/>
                </c:ext>
              </c:extLst>
            </c:dLbl>
            <c:dLbl>
              <c:idx val="9"/>
              <c:layout>
                <c:manualLayout>
                  <c:x val="-4.0760636145778219E-2"/>
                  <c:y val="-5.5664881889763783E-2"/>
                </c:manualLayout>
              </c:layout>
              <c:spPr>
                <a:ln>
                  <a:noFill/>
                </a:ln>
              </c:spPr>
              <c:txPr>
                <a:bodyPr rot="-180000" vert="horz"/>
                <a:lstStyle/>
                <a:p>
                  <a:pPr algn="ctr">
                    <a:defRPr sz="1050" b="1" i="1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AB-40C6-8532-639E0DC4DA10}"/>
                </c:ext>
              </c:extLst>
            </c:dLbl>
            <c:dLbl>
              <c:idx val="10"/>
              <c:layout>
                <c:manualLayout>
                  <c:x val="-4.8360639130634986E-2"/>
                  <c:y val="4.1586928394514069E-2"/>
                </c:manualLayout>
              </c:layout>
              <c:spPr>
                <a:ln>
                  <a:noFill/>
                </a:ln>
              </c:spPr>
              <c:txPr>
                <a:bodyPr rot="-180000" vert="horz"/>
                <a:lstStyle/>
                <a:p>
                  <a:pPr algn="ctr">
                    <a:defRPr sz="1050" b="1" i="1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AB-40C6-8532-639E0DC4DA10}"/>
                </c:ext>
              </c:extLst>
            </c:dLbl>
            <c:dLbl>
              <c:idx val="11"/>
              <c:layout>
                <c:manualLayout>
                  <c:x val="-5.0117419533084677E-2"/>
                  <c:y val="-5.210927507301024E-2"/>
                </c:manualLayout>
              </c:layout>
              <c:spPr>
                <a:ln>
                  <a:noFill/>
                </a:ln>
              </c:spPr>
              <c:txPr>
                <a:bodyPr rot="-180000" vert="horz"/>
                <a:lstStyle/>
                <a:p>
                  <a:pPr algn="ctr">
                    <a:defRPr sz="1050" b="1" i="1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AB-40C6-8532-639E0DC4DA10}"/>
                </c:ext>
              </c:extLst>
            </c:dLbl>
            <c:dLbl>
              <c:idx val="12"/>
              <c:layout>
                <c:manualLayout>
                  <c:x val="-3.3743150527236726E-2"/>
                  <c:y val="3.3874976895493694E-2"/>
                </c:manualLayout>
              </c:layout>
              <c:spPr>
                <a:ln>
                  <a:noFill/>
                </a:ln>
              </c:spPr>
              <c:txPr>
                <a:bodyPr rot="-180000" vert="horz"/>
                <a:lstStyle/>
                <a:p>
                  <a:pPr algn="ctr">
                    <a:defRPr sz="1050" b="1" i="1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AAB-40C6-8532-639E0DC4DA10}"/>
                </c:ext>
              </c:extLst>
            </c:dLbl>
            <c:spPr>
              <a:ln>
                <a:noFill/>
              </a:ln>
            </c:spPr>
            <c:txPr>
              <a:bodyPr rot="-180000" vert="horz"/>
              <a:lstStyle/>
              <a:p>
                <a:pPr algn="ctr">
                  <a:defRPr sz="105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2225" cmpd="sng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strRef>
              <c:f>Diesel_S10!$A$30:$A$42</c:f>
              <c:strCache>
                <c:ptCount val="13"/>
                <c:pt idx="0">
                  <c:v>JANEIRO|14</c:v>
                </c:pt>
                <c:pt idx="1">
                  <c:v>FEVEREIRO|14</c:v>
                </c:pt>
                <c:pt idx="2">
                  <c:v>MARÇO|14</c:v>
                </c:pt>
                <c:pt idx="3">
                  <c:v>ABRIL|14</c:v>
                </c:pt>
                <c:pt idx="4">
                  <c:v>MAIO|14</c:v>
                </c:pt>
                <c:pt idx="5">
                  <c:v>JUNHO|14</c:v>
                </c:pt>
                <c:pt idx="6">
                  <c:v>JULHO|14</c:v>
                </c:pt>
                <c:pt idx="7">
                  <c:v>AGOSTO|14</c:v>
                </c:pt>
                <c:pt idx="8">
                  <c:v>SETEMBRO|14</c:v>
                </c:pt>
                <c:pt idx="9">
                  <c:v>OUTUBRO|14</c:v>
                </c:pt>
                <c:pt idx="10">
                  <c:v>NOVEMBRO|14</c:v>
                </c:pt>
                <c:pt idx="11">
                  <c:v>DEZEMBRO|14</c:v>
                </c:pt>
                <c:pt idx="12">
                  <c:v>JANEIRO|15</c:v>
                </c:pt>
              </c:strCache>
            </c:strRef>
          </c:cat>
          <c:val>
            <c:numRef>
              <c:f>Diesel_S10!$B$69:$B$81</c:f>
              <c:numCache>
                <c:formatCode>0.0000</c:formatCode>
                <c:ptCount val="13"/>
                <c:pt idx="0">
                  <c:v>3.1539999999999999</c:v>
                </c:pt>
                <c:pt idx="1">
                  <c:v>3.1520000000000006</c:v>
                </c:pt>
                <c:pt idx="2">
                  <c:v>3.0979999999999994</c:v>
                </c:pt>
                <c:pt idx="3">
                  <c:v>3.1849999999999996</c:v>
                </c:pt>
                <c:pt idx="4">
                  <c:v>3.2459999999999996</c:v>
                </c:pt>
                <c:pt idx="5">
                  <c:v>3.3329999999999993</c:v>
                </c:pt>
                <c:pt idx="6">
                  <c:v>3.343</c:v>
                </c:pt>
                <c:pt idx="7">
                  <c:v>3.4329999999999998</c:v>
                </c:pt>
                <c:pt idx="8">
                  <c:v>3.4639999999999995</c:v>
                </c:pt>
                <c:pt idx="9">
                  <c:v>3.5010000000000003</c:v>
                </c:pt>
                <c:pt idx="10">
                  <c:v>3.5079999999999996</c:v>
                </c:pt>
                <c:pt idx="11">
                  <c:v>3.5040000000000004</c:v>
                </c:pt>
                <c:pt idx="12">
                  <c:v>3.4969999999999999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AAB-40C6-8532-639E0DC4D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150"/>
          <c:upBars/>
          <c:downBars/>
        </c:upDownBars>
        <c:marker val="1"/>
        <c:smooth val="0"/>
        <c:axId val="199289088"/>
        <c:axId val="111477120"/>
      </c:lineChart>
      <c:catAx>
        <c:axId val="19928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FFFFFF"/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pt-BR"/>
                  <a:t>PERÍODO</a:t>
                </a:r>
              </a:p>
            </c:rich>
          </c:tx>
          <c:layout>
            <c:manualLayout>
              <c:xMode val="edge"/>
              <c:yMode val="edge"/>
              <c:x val="0.47371725593124386"/>
              <c:y val="0.90938000042219924"/>
            </c:manualLayout>
          </c:layout>
          <c:overlay val="0"/>
        </c:title>
        <c:numFmt formatCode="mmm\-yy" sourceLinked="0"/>
        <c:majorTickMark val="out"/>
        <c:minorTickMark val="none"/>
        <c:tickLblPos val="nextTo"/>
        <c:txPr>
          <a:bodyPr rot="-3180000" vert="horz"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1477120"/>
        <c:crosses val="autoZero"/>
        <c:auto val="1"/>
        <c:lblAlgn val="ctr"/>
        <c:lblOffset val="100"/>
        <c:tickLblSkip val="1"/>
        <c:noMultiLvlLbl val="0"/>
      </c:catAx>
      <c:valAx>
        <c:axId val="111477120"/>
        <c:scaling>
          <c:orientation val="minMax"/>
        </c:scaling>
        <c:delete val="0"/>
        <c:axPos val="l"/>
        <c:majorGridlines>
          <c:spPr>
            <a:ln w="3175">
              <a:solidFill>
                <a:srgbClr val="99CC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333399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R$/Litro</a:t>
                </a:r>
              </a:p>
            </c:rich>
          </c:tx>
          <c:layout>
            <c:manualLayout>
              <c:xMode val="edge"/>
              <c:yMode val="edge"/>
              <c:x val="1.5573053368328959E-3"/>
              <c:y val="0.38769401814049381"/>
            </c:manualLayout>
          </c:layout>
          <c:overlay val="0"/>
        </c:title>
        <c:numFmt formatCode="0.0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9289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 w="19050" cap="sq">
      <a:solidFill>
        <a:sysClr val="windowText" lastClr="000000"/>
      </a:solidFill>
      <a:miter lim="800000"/>
    </a:ln>
    <a:effectLst>
      <a:glow rad="139700">
        <a:schemeClr val="accent1">
          <a:satMod val="175000"/>
          <a:alpha val="40000"/>
        </a:schemeClr>
      </a:glo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 horizontalDpi="-3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333399"/>
                </a:solidFill>
                <a:latin typeface="Calibri Light"/>
                <a:ea typeface="Calibri Light"/>
                <a:cs typeface="Calibri Light"/>
              </a:defRPr>
            </a:pPr>
            <a:r>
              <a:rPr lang="pt-BR"/>
              <a:t>EVOLUÇÃO DO PREÇO DO DIESEL - S10 NO S ÚLTIMOS  12 MESES (EM REAIS)</a:t>
            </a:r>
          </a:p>
        </c:rich>
      </c:tx>
      <c:layout>
        <c:manualLayout>
          <c:xMode val="edge"/>
          <c:yMode val="edge"/>
          <c:x val="0.14851461214407025"/>
          <c:y val="5.73438320209973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40834369388038"/>
          <c:y val="0.23124261579978558"/>
          <c:w val="0.84287641910373856"/>
          <c:h val="0.50417368214192204"/>
        </c:manualLayout>
      </c:layout>
      <c:lineChart>
        <c:grouping val="standard"/>
        <c:varyColors val="1"/>
        <c:ser>
          <c:idx val="0"/>
          <c:order val="0"/>
          <c:tx>
            <c:strRef>
              <c:f>[72]Diesel_S10!$A$23:$A$35</c:f>
              <c:strCache>
                <c:ptCount val="1"/>
                <c:pt idx="0">
                  <c:v>JUNHO|13 JULHO|13 AGOSTO|13 SETEMBRO|13 OUTUBRO|13 NOVEMBRO|13 DEZEMBRO|13 JANEIRO|14 FEVEREIRO|14 MARÇO|14 ABRIL|14 MAIO|14 JUNHO|14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rgbClr val="FFFF00"/>
              </a:solidFill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4E-42CE-8D69-DBC067FB86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4E-42CE-8D69-DBC067FB86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4E-42CE-8D69-DBC067FB86A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54E-42CE-8D69-DBC067FB86A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54E-42CE-8D69-DBC067FB86A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54E-42CE-8D69-DBC067FB86A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54E-42CE-8D69-DBC067FB86A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54E-42CE-8D69-DBC067FB86A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54E-42CE-8D69-DBC067FB86A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54E-42CE-8D69-DBC067FB86A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54E-42CE-8D69-DBC067FB86A2}"/>
              </c:ext>
            </c:extLst>
          </c:dPt>
          <c:dPt>
            <c:idx val="11"/>
            <c:marker>
              <c:spPr>
                <a:solidFill>
                  <a:srgbClr val="FFFF00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454E-42CE-8D69-DBC067FB86A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54E-42CE-8D69-DBC067FB86A2}"/>
              </c:ext>
            </c:extLst>
          </c:dPt>
          <c:dLbls>
            <c:dLbl>
              <c:idx val="0"/>
              <c:layout>
                <c:manualLayout>
                  <c:x val="-4.3064511672882992E-2"/>
                  <c:y val="-3.59965990166722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4E-42CE-8D69-DBC067FB86A2}"/>
                </c:ext>
              </c:extLst>
            </c:dLbl>
            <c:dLbl>
              <c:idx val="1"/>
              <c:layout>
                <c:manualLayout>
                  <c:x val="-5.8580835290325553E-2"/>
                  <c:y val="4.1267531699382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4E-42CE-8D69-DBC067FB86A2}"/>
                </c:ext>
              </c:extLst>
            </c:dLbl>
            <c:dLbl>
              <c:idx val="2"/>
              <c:layout>
                <c:manualLayout>
                  <c:x val="-4.9242528894414515E-2"/>
                  <c:y val="-3.9742708217810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4E-42CE-8D69-DBC067FB86A2}"/>
                </c:ext>
              </c:extLst>
            </c:dLbl>
            <c:dLbl>
              <c:idx val="3"/>
              <c:layout>
                <c:manualLayout>
                  <c:x val="-4.4284201316940643E-2"/>
                  <c:y val="3.713459761191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4E-42CE-8D69-DBC067FB86A2}"/>
                </c:ext>
              </c:extLst>
            </c:dLbl>
            <c:dLbl>
              <c:idx val="4"/>
              <c:layout>
                <c:manualLayout>
                  <c:x val="-5.2858866325919789E-2"/>
                  <c:y val="-3.74797234852685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4E-42CE-8D69-DBC067FB86A2}"/>
                </c:ext>
              </c:extLst>
            </c:dLbl>
            <c:dLbl>
              <c:idx val="5"/>
              <c:layout>
                <c:manualLayout>
                  <c:x val="-2.3124925173826957E-2"/>
                  <c:y val="1.43329266940223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4E-42CE-8D69-DBC067FB86A2}"/>
                </c:ext>
              </c:extLst>
            </c:dLbl>
            <c:dLbl>
              <c:idx val="6"/>
              <c:layout>
                <c:manualLayout>
                  <c:x val="-5.2093824240349404E-2"/>
                  <c:y val="4.34292913385826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4E-42CE-8D69-DBC067FB86A2}"/>
                </c:ext>
              </c:extLst>
            </c:dLbl>
            <c:dLbl>
              <c:idx val="7"/>
              <c:layout>
                <c:manualLayout>
                  <c:x val="-4.9525625086337892E-2"/>
                  <c:y val="-3.8337954234593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4E-42CE-8D69-DBC067FB86A2}"/>
                </c:ext>
              </c:extLst>
            </c:dLbl>
            <c:dLbl>
              <c:idx val="8"/>
              <c:layout>
                <c:manualLayout>
                  <c:x val="-2.7317401114334391E-2"/>
                  <c:y val="6.39219252523012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4E-42CE-8D69-DBC067FB86A2}"/>
                </c:ext>
              </c:extLst>
            </c:dLbl>
            <c:dLbl>
              <c:idx val="9"/>
              <c:layout>
                <c:manualLayout>
                  <c:x val="-4.0760636145778219E-2"/>
                  <c:y val="-5.5664881889763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4E-42CE-8D69-DBC067FB86A2}"/>
                </c:ext>
              </c:extLst>
            </c:dLbl>
            <c:dLbl>
              <c:idx val="10"/>
              <c:layout>
                <c:manualLayout>
                  <c:x val="-4.8360639130634986E-2"/>
                  <c:y val="4.15869283945140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4E-42CE-8D69-DBC067FB86A2}"/>
                </c:ext>
              </c:extLst>
            </c:dLbl>
            <c:dLbl>
              <c:idx val="11"/>
              <c:layout>
                <c:manualLayout>
                  <c:x val="-5.0117419533084677E-2"/>
                  <c:y val="-5.210927507301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4E-42CE-8D69-DBC067FB86A2}"/>
                </c:ext>
              </c:extLst>
            </c:dLbl>
            <c:dLbl>
              <c:idx val="12"/>
              <c:layout>
                <c:manualLayout>
                  <c:x val="-3.3743150527236726E-2"/>
                  <c:y val="3.3874976895493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54E-42CE-8D69-DBC067FB86A2}"/>
                </c:ext>
              </c:extLst>
            </c:dLbl>
            <c:spPr>
              <a:ln>
                <a:noFill/>
              </a:ln>
            </c:spPr>
            <c:txPr>
              <a:bodyPr rot="-180000" vert="horz"/>
              <a:lstStyle/>
              <a:p>
                <a:pPr algn="ctr">
                  <a:defRPr sz="105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2225" cmpd="sng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strRef>
              <c:f>[72]Diesel_S10!$A$23:$A$35</c:f>
              <c:strCache>
                <c:ptCount val="13"/>
                <c:pt idx="0">
                  <c:v>JUNHO|13</c:v>
                </c:pt>
                <c:pt idx="1">
                  <c:v>JULHO|13</c:v>
                </c:pt>
                <c:pt idx="2">
                  <c:v>AGOSTO|13</c:v>
                </c:pt>
                <c:pt idx="3">
                  <c:v>SETEMBRO|13</c:v>
                </c:pt>
                <c:pt idx="4">
                  <c:v>OUTUBRO|13</c:v>
                </c:pt>
                <c:pt idx="5">
                  <c:v>NOVEMBRO|13</c:v>
                </c:pt>
                <c:pt idx="6">
                  <c:v>DEZEMBRO|13</c:v>
                </c:pt>
                <c:pt idx="7">
                  <c:v>JANEIRO|14</c:v>
                </c:pt>
                <c:pt idx="8">
                  <c:v>FEVEREIRO|14</c:v>
                </c:pt>
                <c:pt idx="9">
                  <c:v>MARÇO|14</c:v>
                </c:pt>
                <c:pt idx="10">
                  <c:v>ABRIL|14</c:v>
                </c:pt>
                <c:pt idx="11">
                  <c:v>MAIO|14</c:v>
                </c:pt>
                <c:pt idx="12">
                  <c:v>JUNHO|14</c:v>
                </c:pt>
              </c:strCache>
            </c:strRef>
          </c:cat>
          <c:val>
            <c:numRef>
              <c:f>[72]Diesel_S10!$B$23:$B$35</c:f>
              <c:numCache>
                <c:formatCode>General</c:formatCode>
                <c:ptCount val="13"/>
                <c:pt idx="0">
                  <c:v>2.4350000000000001</c:v>
                </c:pt>
                <c:pt idx="1">
                  <c:v>2.4409999999999998</c:v>
                </c:pt>
                <c:pt idx="2">
                  <c:v>2.4329999999999998</c:v>
                </c:pt>
                <c:pt idx="3">
                  <c:v>2.4319999999999999</c:v>
                </c:pt>
                <c:pt idx="4">
                  <c:v>2.4300000000000002</c:v>
                </c:pt>
                <c:pt idx="5">
                  <c:v>2.4289999999999998</c:v>
                </c:pt>
                <c:pt idx="6">
                  <c:v>2.5790000000000002</c:v>
                </c:pt>
                <c:pt idx="7">
                  <c:v>2.59</c:v>
                </c:pt>
                <c:pt idx="8">
                  <c:v>2.593</c:v>
                </c:pt>
                <c:pt idx="9">
                  <c:v>2.6</c:v>
                </c:pt>
                <c:pt idx="10">
                  <c:v>2.6059999999999994</c:v>
                </c:pt>
                <c:pt idx="11">
                  <c:v>2.6080000000000001</c:v>
                </c:pt>
                <c:pt idx="12">
                  <c:v>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54E-42CE-8D69-DBC067FB8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150"/>
          <c:upBars/>
          <c:downBars/>
        </c:upDownBars>
        <c:marker val="1"/>
        <c:smooth val="0"/>
        <c:axId val="111669248"/>
        <c:axId val="111671168"/>
      </c:lineChart>
      <c:catAx>
        <c:axId val="11166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FFFFFF"/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pt-BR"/>
                  <a:t>PERÍODO</a:t>
                </a:r>
              </a:p>
            </c:rich>
          </c:tx>
          <c:layout>
            <c:manualLayout>
              <c:xMode val="edge"/>
              <c:yMode val="edge"/>
              <c:x val="0.47371719711506649"/>
              <c:y val="0.90938005988688042"/>
            </c:manualLayout>
          </c:layout>
          <c:overlay val="0"/>
        </c:title>
        <c:numFmt formatCode="mmm\-yy" sourceLinked="0"/>
        <c:majorTickMark val="out"/>
        <c:minorTickMark val="none"/>
        <c:tickLblPos val="nextTo"/>
        <c:txPr>
          <a:bodyPr rot="-3180000" vert="horz"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1671168"/>
        <c:crosses val="autoZero"/>
        <c:auto val="1"/>
        <c:lblAlgn val="ctr"/>
        <c:lblOffset val="100"/>
        <c:tickLblSkip val="1"/>
        <c:noMultiLvlLbl val="0"/>
      </c:catAx>
      <c:valAx>
        <c:axId val="111671168"/>
        <c:scaling>
          <c:orientation val="minMax"/>
        </c:scaling>
        <c:delete val="0"/>
        <c:axPos val="l"/>
        <c:majorGridlines>
          <c:spPr>
            <a:ln w="3175">
              <a:solidFill>
                <a:srgbClr val="99CC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333399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R$/Litro</a:t>
                </a:r>
              </a:p>
            </c:rich>
          </c:tx>
          <c:layout>
            <c:manualLayout>
              <c:xMode val="edge"/>
              <c:yMode val="edge"/>
              <c:x val="1.5573347449215906E-3"/>
              <c:y val="0.3876940593693393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1669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19050" cap="sq">
      <a:solidFill>
        <a:sysClr val="windowText" lastClr="000000"/>
      </a:solidFill>
      <a:miter lim="800000"/>
    </a:ln>
    <a:effectLst>
      <a:glow rad="139700">
        <a:schemeClr val="accent1">
          <a:satMod val="175000"/>
          <a:alpha val="40000"/>
        </a:schemeClr>
      </a:glo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 horizontalDpi="-3" verticalDpi="300"/>
  </c:printSettings>
</c:chartSpace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firstButton="1" fmlaLink="$B$5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Drop" dropStyle="combo" dx="16" fmlaLink="$B$8" fmlaRange="Diesel_S500!$B$8:$B$293" sel="274" val="271"/>
</file>

<file path=xl/ctrlProps/ctrlProp5.xml><?xml version="1.0" encoding="utf-8"?>
<formControlPr xmlns="http://schemas.microsoft.com/office/spreadsheetml/2009/9/main" objectType="Drop" dropStyle="combo" dx="16" fmlaLink="Painel!$B$9" fmlaRange="Diesel_S500!$B$8:$B$293" sel="286" val="278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</xdr:row>
          <xdr:rowOff>0</xdr:rowOff>
        </xdr:from>
        <xdr:to>
          <xdr:col>3</xdr:col>
          <xdr:colOff>57150</xdr:colOff>
          <xdr:row>7</xdr:row>
          <xdr:rowOff>38100</xdr:rowOff>
        </xdr:to>
        <xdr:sp macro="" textlink="">
          <xdr:nvSpPr>
            <xdr:cNvPr id="6150" name="Drop Down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0</xdr:rowOff>
        </xdr:from>
        <xdr:to>
          <xdr:col>5</xdr:col>
          <xdr:colOff>57150</xdr:colOff>
          <xdr:row>7</xdr:row>
          <xdr:rowOff>47625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447675</xdr:colOff>
          <xdr:row>2</xdr:row>
          <xdr:rowOff>38100</xdr:rowOff>
        </xdr:from>
        <xdr:to>
          <xdr:col>5</xdr:col>
          <xdr:colOff>695325</xdr:colOff>
          <xdr:row>5</xdr:row>
          <xdr:rowOff>0</xdr:rowOff>
        </xdr:to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657225" y="1066800"/>
              <a:ext cx="4895850" cy="533400"/>
              <a:chOff x="295275" y="1066800"/>
              <a:chExt cx="4972050" cy="533400"/>
            </a:xfrm>
          </xdr:grpSpPr>
          <xdr:sp macro="" textlink="">
            <xdr:nvSpPr>
              <xdr:cNvPr id="6145" name="Group Box 1" hidden="1">
                <a:extLst>
                  <a:ext uri="{63B3BB69-23CF-44E3-9099-C40C66FF867C}">
                    <a14:compatExt spid="_x0000_s6145"/>
                  </a:ext>
                  <a:ext uri="{FF2B5EF4-FFF2-40B4-BE49-F238E27FC236}">
                    <a16:creationId xmlns:a16="http://schemas.microsoft.com/office/drawing/2014/main" id="{00000000-0008-0000-0000-000001180000}"/>
                  </a:ext>
                </a:extLst>
              </xdr:cNvPr>
              <xdr:cNvSpPr/>
            </xdr:nvSpPr>
            <xdr:spPr bwMode="auto">
              <a:xfrm>
                <a:off x="295275" y="1066800"/>
                <a:ext cx="4972050" cy="5334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Tipo de Índice</a:t>
                </a:r>
              </a:p>
            </xdr:txBody>
          </xdr:sp>
          <xdr:grpSp>
            <xdr:nvGrpSpPr>
              <xdr:cNvPr id="6" name="Grupo 5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GrpSpPr/>
            </xdr:nvGrpSpPr>
            <xdr:grpSpPr>
              <a:xfrm>
                <a:off x="561985" y="1190625"/>
                <a:ext cx="4362440" cy="266700"/>
                <a:chOff x="561985" y="1190625"/>
                <a:chExt cx="4362440" cy="266700"/>
              </a:xfrm>
            </xdr:grpSpPr>
            <xdr:sp macro="" textlink="">
              <xdr:nvSpPr>
                <xdr:cNvPr id="6146" name="Option Button 2" hidden="1">
                  <a:extLst>
                    <a:ext uri="{63B3BB69-23CF-44E3-9099-C40C66FF867C}">
                      <a14:compatExt spid="_x0000_s6146"/>
                    </a:ext>
                    <a:ext uri="{FF2B5EF4-FFF2-40B4-BE49-F238E27FC236}">
                      <a16:creationId xmlns:a16="http://schemas.microsoft.com/office/drawing/2014/main" id="{00000000-0008-0000-0000-000002180000}"/>
                    </a:ext>
                  </a:extLst>
                </xdr:cNvPr>
                <xdr:cNvSpPr/>
              </xdr:nvSpPr>
              <xdr:spPr bwMode="auto">
                <a:xfrm>
                  <a:off x="561985" y="1190625"/>
                  <a:ext cx="1047750" cy="266700"/>
                </a:xfrm>
                <a:prstGeom prst="rect">
                  <a:avLst/>
                </a:prstGeom>
                <a:solidFill>
                  <a:srgbClr val="969696" mc:Ignorable="a14" a14:legacySpreadsheetColorIndex="55"/>
                </a:solidFill>
                <a:ln>
                  <a:noFill/>
                </a:ln>
                <a:extLst>
                  <a:ext uri="{91240B29-F687-4F45-9708-019B960494DF}">
                    <a14:hiddenLine w="9525">
                      <a:solidFill>
                        <a:srgbClr val="2A415D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pt-BR"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rPr>
                    <a:t>DIESEL COMUM</a:t>
                  </a:r>
                </a:p>
              </xdr:txBody>
            </xdr:sp>
            <xdr:sp macro="" textlink="">
              <xdr:nvSpPr>
                <xdr:cNvPr id="6147" name="Option Button 3" hidden="1">
                  <a:extLst>
                    <a:ext uri="{63B3BB69-23CF-44E3-9099-C40C66FF867C}">
                      <a14:compatExt spid="_x0000_s6147"/>
                    </a:ext>
                    <a:ext uri="{FF2B5EF4-FFF2-40B4-BE49-F238E27FC236}">
                      <a16:creationId xmlns:a16="http://schemas.microsoft.com/office/drawing/2014/main" id="{00000000-0008-0000-0000-000003180000}"/>
                    </a:ext>
                  </a:extLst>
                </xdr:cNvPr>
                <xdr:cNvSpPr/>
              </xdr:nvSpPr>
              <xdr:spPr bwMode="auto">
                <a:xfrm>
                  <a:off x="1628775" y="1190625"/>
                  <a:ext cx="809625" cy="266700"/>
                </a:xfrm>
                <a:prstGeom prst="rect">
                  <a:avLst/>
                </a:prstGeom>
                <a:solidFill>
                  <a:srgbClr val="969696" mc:Ignorable="a14" a14:legacySpreadsheetColorIndex="55"/>
                </a:solidFill>
                <a:ln>
                  <a:noFill/>
                </a:ln>
                <a:extLs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pt-BR"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rPr>
                    <a:t>DIESEL S10</a:t>
                  </a:r>
                </a:p>
              </xdr:txBody>
            </xdr:sp>
            <xdr:sp macro="" textlink="">
              <xdr:nvSpPr>
                <xdr:cNvPr id="6152" name="Option Button 8" hidden="1">
                  <a:extLst>
                    <a:ext uri="{63B3BB69-23CF-44E3-9099-C40C66FF867C}">
                      <a14:compatExt spid="_x0000_s6152"/>
                    </a:ext>
                    <a:ext uri="{FF2B5EF4-FFF2-40B4-BE49-F238E27FC236}">
                      <a16:creationId xmlns:a16="http://schemas.microsoft.com/office/drawing/2014/main" id="{00000000-0008-0000-0000-000008180000}"/>
                    </a:ext>
                  </a:extLst>
                </xdr:cNvPr>
                <xdr:cNvSpPr/>
              </xdr:nvSpPr>
              <xdr:spPr bwMode="auto">
                <a:xfrm>
                  <a:off x="2457450" y="1190625"/>
                  <a:ext cx="809625" cy="266700"/>
                </a:xfrm>
                <a:prstGeom prst="rect">
                  <a:avLst/>
                </a:prstGeom>
                <a:solidFill>
                  <a:srgbClr val="969696" mc:Ignorable="a14" a14:legacySpreadsheetColorIndex="55"/>
                </a:solidFill>
                <a:ln>
                  <a:noFill/>
                </a:ln>
                <a:extLst>
                  <a:ext uri="{91240B29-F687-4F45-9708-019B960494DF}">
                    <a14:hiddenLine w="9525">
                      <a:solidFill>
                        <a:srgbClr val="969696" mc:Ignorable="a14" a14:legacySpreadsheetColorIndex="55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pt-BR"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rPr>
                    <a:t>ARLA 32  </a:t>
                  </a:r>
                </a:p>
              </xdr:txBody>
            </xdr:sp>
            <xdr:sp macro="" textlink="">
              <xdr:nvSpPr>
                <xdr:cNvPr id="6153" name="Option Button 9" hidden="1">
                  <a:extLst>
                    <a:ext uri="{63B3BB69-23CF-44E3-9099-C40C66FF867C}">
                      <a14:compatExt spid="_x0000_s6153"/>
                    </a:ext>
                    <a:ext uri="{FF2B5EF4-FFF2-40B4-BE49-F238E27FC236}">
                      <a16:creationId xmlns:a16="http://schemas.microsoft.com/office/drawing/2014/main" id="{00000000-0008-0000-0000-000009180000}"/>
                    </a:ext>
                  </a:extLst>
                </xdr:cNvPr>
                <xdr:cNvSpPr/>
              </xdr:nvSpPr>
              <xdr:spPr bwMode="auto">
                <a:xfrm>
                  <a:off x="3286125" y="1190625"/>
                  <a:ext cx="809625" cy="266700"/>
                </a:xfrm>
                <a:prstGeom prst="rect">
                  <a:avLst/>
                </a:prstGeom>
                <a:solidFill>
                  <a:srgbClr val="969696" mc:Ignorable="a14" a14:legacySpreadsheetColorIndex="55"/>
                </a:solidFill>
                <a:ln>
                  <a:noFill/>
                </a:ln>
                <a:extLs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pt-BR"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rPr>
                    <a:t>GASOLINA</a:t>
                  </a:r>
                </a:p>
              </xdr:txBody>
            </xdr:sp>
            <xdr:sp macro="" textlink="">
              <xdr:nvSpPr>
                <xdr:cNvPr id="6154" name="Option Button 10" hidden="1">
                  <a:extLst>
                    <a:ext uri="{63B3BB69-23CF-44E3-9099-C40C66FF867C}">
                      <a14:compatExt spid="_x0000_s6154"/>
                    </a:ext>
                    <a:ext uri="{FF2B5EF4-FFF2-40B4-BE49-F238E27FC236}">
                      <a16:creationId xmlns:a16="http://schemas.microsoft.com/office/drawing/2014/main" id="{00000000-0008-0000-0000-00000A180000}"/>
                    </a:ext>
                  </a:extLst>
                </xdr:cNvPr>
                <xdr:cNvSpPr/>
              </xdr:nvSpPr>
              <xdr:spPr bwMode="auto">
                <a:xfrm>
                  <a:off x="4114800" y="1190625"/>
                  <a:ext cx="809625" cy="266700"/>
                </a:xfrm>
                <a:prstGeom prst="rect">
                  <a:avLst/>
                </a:prstGeom>
                <a:solidFill>
                  <a:srgbClr val="969696" mc:Ignorable="a14" a14:legacySpreadsheetColorIndex="55"/>
                </a:solidFill>
                <a:ln>
                  <a:noFill/>
                </a:ln>
                <a:extLs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pt-BR"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rPr>
                    <a:t>ETANOL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1</xdr:col>
      <xdr:colOff>28575</xdr:colOff>
      <xdr:row>13</xdr:row>
      <xdr:rowOff>28575</xdr:rowOff>
    </xdr:from>
    <xdr:to>
      <xdr:col>5</xdr:col>
      <xdr:colOff>1095375</xdr:colOff>
      <xdr:row>29</xdr:row>
      <xdr:rowOff>238126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495300</xdr:colOff>
      <xdr:row>5</xdr:row>
      <xdr:rowOff>342899</xdr:rowOff>
    </xdr:from>
    <xdr:to>
      <xdr:col>3</xdr:col>
      <xdr:colOff>838200</xdr:colOff>
      <xdr:row>8</xdr:row>
      <xdr:rowOff>158999</xdr:rowOff>
    </xdr:to>
    <xdr:sp macro="" textlink="">
      <xdr:nvSpPr>
        <xdr:cNvPr id="2" name="Seta para baix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52750" y="1943099"/>
          <a:ext cx="342900" cy="540000"/>
        </a:xfrm>
        <a:prstGeom prst="downArrow">
          <a:avLst/>
        </a:prstGeom>
        <a:solidFill>
          <a:srgbClr val="184782"/>
        </a:solidFill>
        <a:ln>
          <a:solidFill>
            <a:srgbClr val="18478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3</xdr:col>
      <xdr:colOff>209550</xdr:colOff>
      <xdr:row>2</xdr:row>
      <xdr:rowOff>171450</xdr:rowOff>
    </xdr:to>
    <xdr:pic>
      <xdr:nvPicPr>
        <xdr:cNvPr id="7" name="Picture 2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28575"/>
          <a:ext cx="20193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209550</xdr:colOff>
      <xdr:row>2</xdr:row>
      <xdr:rowOff>171450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28575"/>
          <a:ext cx="20193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83</xdr:row>
      <xdr:rowOff>104775</xdr:rowOff>
    </xdr:from>
    <xdr:to>
      <xdr:col>8</xdr:col>
      <xdr:colOff>0</xdr:colOff>
      <xdr:row>101</xdr:row>
      <xdr:rowOff>57150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438150</xdr:colOff>
      <xdr:row>2</xdr:row>
      <xdr:rowOff>200025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28575"/>
          <a:ext cx="20193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112</xdr:row>
      <xdr:rowOff>19050</xdr:rowOff>
    </xdr:from>
    <xdr:to>
      <xdr:col>7</xdr:col>
      <xdr:colOff>1009650</xdr:colOff>
      <xdr:row>133</xdr:row>
      <xdr:rowOff>0</xdr:rowOff>
    </xdr:to>
    <xdr:graphicFrame macro="">
      <xdr:nvGraphicFramePr>
        <xdr:cNvPr id="5" name="Gráfico 9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98735</xdr:colOff>
      <xdr:row>0</xdr:row>
      <xdr:rowOff>76200</xdr:rowOff>
    </xdr:from>
    <xdr:to>
      <xdr:col>2</xdr:col>
      <xdr:colOff>378473</xdr:colOff>
      <xdr:row>1</xdr:row>
      <xdr:rowOff>425700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8735" y="76200"/>
          <a:ext cx="1813263" cy="5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653766</xdr:colOff>
      <xdr:row>2</xdr:row>
      <xdr:rowOff>10376</xdr:rowOff>
    </xdr:to>
    <xdr:pic>
      <xdr:nvPicPr>
        <xdr:cNvPr id="3" name="Imagem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7625" y="0"/>
          <a:ext cx="2177766" cy="648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EVINSU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11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12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11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21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31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41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51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61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71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8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31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91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101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111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121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11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21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31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41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51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6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41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71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81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91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101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111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121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11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21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315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4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51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515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61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71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81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91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1015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1115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1215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116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2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61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316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416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516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616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716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816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916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1016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1116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12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71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117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217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317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417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517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617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717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817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917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1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81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COMB2017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COMB2018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EVINSUL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EVINSUL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1117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1217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COMBUSTIVEL\COMB200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COMBUSTIVEL\COMB2001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COMBUSTIVEL\COMB2002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COMBUSTIVEL\COMB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0912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COMBUSTIVEL\COMB2004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COMBUSTIVEL\COMB2005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COMBUSTIVEL\COMB2006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COMBUSTIVEL\COMB2007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COMBUSTIVEL\COMB2008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COMBUSTIVEL\COMB2009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COMBUSTIVEL\COMB2010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COMB2011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COMB2012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COMB201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CTNOVO\INCTF1012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COMB2014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COMB2015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COMB2016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_DECO\INSUMOS\GASOL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l"/>
      <sheetName val="Resumo"/>
      <sheetName val="Diesel_S500"/>
      <sheetName val="Diesel_S10"/>
      <sheetName val="ARLA_32"/>
      <sheetName val="ANP"/>
      <sheetName val="ANP S-50_S-10  "/>
      <sheetName val="aumentos comb"/>
      <sheetName val="câmbio"/>
      <sheetName val="cárter"/>
      <sheetName val="mnt_Atego 2426"/>
      <sheetName val="mnt_ACCELO 815"/>
      <sheetName val="motrod"/>
      <sheetName val="moturb"/>
      <sheetName val="ajud"/>
      <sheetName val="DAT"/>
      <sheetName val="MB ATEGO 2426"/>
      <sheetName val="MB ACCELO 815 "/>
      <sheetName val="cartru"/>
      <sheetName val="carlev"/>
      <sheetName val="rodoartq"/>
      <sheetName val="rodoarlv"/>
      <sheetName val="Pn1000"/>
      <sheetName val="Pn750"/>
      <sheetName val="camara1000"/>
      <sheetName val="camara750"/>
      <sheetName val="Prot1000"/>
      <sheetName val="Prot750"/>
      <sheetName val="Pn275"/>
      <sheetName val="Pn215"/>
      <sheetName val="Pn205"/>
      <sheetName val="Rec1000"/>
      <sheetName val="Rec750"/>
      <sheetName val="Lavtq"/>
      <sheetName val="Lavlv"/>
      <sheetName val="Seg_ATEGO 2426"/>
      <sheetName val="Seg_ACCELO 815"/>
      <sheetName val="peças"/>
      <sheetName val="mecânico"/>
      <sheetName val="MB12(13)18"/>
      <sheetName val="MB1620"/>
      <sheetName val="camara900"/>
      <sheetName val="eixo"/>
      <sheetName val="Pn900"/>
      <sheetName val="Prot900"/>
      <sheetName val="Rec900"/>
      <sheetName val="Seg1218"/>
      <sheetName val="GRISR"/>
      <sheetName val="GRISCE"/>
    </sheetNames>
    <sheetDataSet>
      <sheetData sheetId="0">
        <row r="9">
          <cell r="E9">
            <v>0.34</v>
          </cell>
          <cell r="G9">
            <v>0.38</v>
          </cell>
          <cell r="I9">
            <v>0.41</v>
          </cell>
          <cell r="K9">
            <v>0.43</v>
          </cell>
          <cell r="M9">
            <v>0.42</v>
          </cell>
        </row>
        <row r="10">
          <cell r="E10">
            <v>0.34</v>
          </cell>
          <cell r="G10">
            <v>0.38</v>
          </cell>
          <cell r="I10">
            <v>0.41</v>
          </cell>
          <cell r="K10">
            <v>0.43</v>
          </cell>
          <cell r="M10">
            <v>0.43314600000000003</v>
          </cell>
        </row>
        <row r="11">
          <cell r="E11">
            <v>0.34</v>
          </cell>
          <cell r="G11">
            <v>0.38</v>
          </cell>
          <cell r="I11">
            <v>0.41</v>
          </cell>
          <cell r="K11">
            <v>0.43</v>
          </cell>
          <cell r="M11">
            <v>0.46749447780000003</v>
          </cell>
        </row>
        <row r="12">
          <cell r="E12">
            <v>0.34</v>
          </cell>
          <cell r="G12">
            <v>0.38</v>
          </cell>
          <cell r="I12">
            <v>0.41</v>
          </cell>
          <cell r="K12">
            <v>0.43</v>
          </cell>
          <cell r="M12">
            <v>0.50442654154620004</v>
          </cell>
        </row>
        <row r="13">
          <cell r="E13">
            <v>0.34</v>
          </cell>
          <cell r="G13">
            <v>0.38</v>
          </cell>
          <cell r="I13">
            <v>0.41</v>
          </cell>
          <cell r="K13">
            <v>0.43</v>
          </cell>
          <cell r="M13">
            <v>0.50483008277943686</v>
          </cell>
        </row>
        <row r="14">
          <cell r="E14">
            <v>0.34</v>
          </cell>
          <cell r="G14">
            <v>0.38</v>
          </cell>
          <cell r="I14">
            <v>0.41</v>
          </cell>
          <cell r="K14">
            <v>0.43</v>
          </cell>
          <cell r="M14">
            <v>0.50483008277943686</v>
          </cell>
        </row>
        <row r="15">
          <cell r="C15">
            <v>0.34</v>
          </cell>
          <cell r="E15">
            <v>0.34</v>
          </cell>
          <cell r="G15">
            <v>0.38</v>
          </cell>
          <cell r="I15">
            <v>0.41</v>
          </cell>
          <cell r="K15">
            <v>0.43</v>
          </cell>
          <cell r="M15">
            <v>0.56999999999999995</v>
          </cell>
        </row>
        <row r="16">
          <cell r="C16">
            <v>0.34</v>
          </cell>
          <cell r="E16">
            <v>0.34</v>
          </cell>
          <cell r="G16">
            <v>0.38</v>
          </cell>
          <cell r="I16">
            <v>0.41</v>
          </cell>
          <cell r="K16">
            <v>0.43</v>
          </cell>
          <cell r="M16">
            <v>0.6</v>
          </cell>
        </row>
        <row r="17">
          <cell r="C17">
            <v>0.34</v>
          </cell>
          <cell r="E17">
            <v>0.34</v>
          </cell>
          <cell r="G17">
            <v>0.38</v>
          </cell>
          <cell r="I17">
            <v>0.41</v>
          </cell>
          <cell r="K17">
            <v>0.41</v>
          </cell>
          <cell r="M17">
            <v>0.6</v>
          </cell>
        </row>
        <row r="18">
          <cell r="C18">
            <v>0.34</v>
          </cell>
          <cell r="E18">
            <v>0.38</v>
          </cell>
          <cell r="G18">
            <v>0.38</v>
          </cell>
          <cell r="I18">
            <v>0.41</v>
          </cell>
          <cell r="K18">
            <v>0.41</v>
          </cell>
          <cell r="M18">
            <v>0.6</v>
          </cell>
        </row>
        <row r="19">
          <cell r="E19">
            <v>0.38</v>
          </cell>
          <cell r="G19">
            <v>0.38</v>
          </cell>
          <cell r="I19">
            <v>0.41</v>
          </cell>
          <cell r="K19">
            <v>0.41</v>
          </cell>
          <cell r="M19">
            <v>0.61</v>
          </cell>
        </row>
        <row r="20">
          <cell r="C20">
            <v>0.34</v>
          </cell>
          <cell r="E20">
            <v>0.38</v>
          </cell>
          <cell r="G20">
            <v>0.41</v>
          </cell>
          <cell r="I20">
            <v>0.43</v>
          </cell>
          <cell r="K20">
            <v>0.42</v>
          </cell>
          <cell r="M20">
            <v>0.61</v>
          </cell>
        </row>
        <row r="24">
          <cell r="C24">
            <v>0.60899999999999999</v>
          </cell>
          <cell r="E24">
            <v>0.76700000000000002</v>
          </cell>
          <cell r="G24">
            <v>0.872</v>
          </cell>
          <cell r="I24">
            <v>1.5109999999999999</v>
          </cell>
          <cell r="K24">
            <v>1.3319000000000001</v>
          </cell>
          <cell r="M24">
            <v>1.6359999999999999</v>
          </cell>
        </row>
        <row r="25">
          <cell r="C25">
            <v>0.60699999999999998</v>
          </cell>
          <cell r="E25">
            <v>0.76700000000000002</v>
          </cell>
          <cell r="G25">
            <v>0.88639999999999997</v>
          </cell>
          <cell r="I25">
            <v>1.5069999999999999</v>
          </cell>
          <cell r="K25">
            <v>1.3371999999999999</v>
          </cell>
          <cell r="M25">
            <v>1.6398999999999999</v>
          </cell>
        </row>
        <row r="26">
          <cell r="C26">
            <v>0.64900000000000002</v>
          </cell>
          <cell r="E26">
            <v>0.76700000000000002</v>
          </cell>
          <cell r="G26">
            <v>0.89839999999999998</v>
          </cell>
          <cell r="I26">
            <v>1.5069999999999999</v>
          </cell>
          <cell r="K26">
            <v>1.3304</v>
          </cell>
          <cell r="M26">
            <v>1.643</v>
          </cell>
        </row>
        <row r="27">
          <cell r="C27">
            <v>0.65</v>
          </cell>
          <cell r="E27">
            <v>0.76700000000000002</v>
          </cell>
          <cell r="G27">
            <v>0.9698</v>
          </cell>
          <cell r="I27">
            <v>1.5069999999999999</v>
          </cell>
          <cell r="K27">
            <v>1.3284</v>
          </cell>
          <cell r="M27">
            <v>1.6386000000000001</v>
          </cell>
        </row>
        <row r="28">
          <cell r="C28">
            <v>0.65</v>
          </cell>
          <cell r="E28">
            <v>0.76700000000000002</v>
          </cell>
          <cell r="G28">
            <v>0.99029999999999996</v>
          </cell>
          <cell r="I28">
            <v>1.4216</v>
          </cell>
          <cell r="K28">
            <v>1.3229</v>
          </cell>
          <cell r="M28">
            <v>1.6569</v>
          </cell>
        </row>
        <row r="29">
          <cell r="C29">
            <v>0.65</v>
          </cell>
          <cell r="E29">
            <v>0.76700000000000002</v>
          </cell>
          <cell r="G29">
            <v>0.98877000000000004</v>
          </cell>
          <cell r="I29">
            <v>1.399</v>
          </cell>
          <cell r="K29">
            <v>1.4466000000000001</v>
          </cell>
          <cell r="M29">
            <v>1.6478999999999999</v>
          </cell>
        </row>
        <row r="30">
          <cell r="C30">
            <v>0.73</v>
          </cell>
          <cell r="E30">
            <v>0.81799999999999995</v>
          </cell>
          <cell r="G30">
            <v>1.079</v>
          </cell>
          <cell r="I30">
            <v>1.3841000000000001</v>
          </cell>
          <cell r="K30">
            <v>1.4466000000000001</v>
          </cell>
          <cell r="M30">
            <v>1.653</v>
          </cell>
        </row>
        <row r="31">
          <cell r="C31">
            <v>0.73</v>
          </cell>
          <cell r="E31">
            <v>0.81799999999999995</v>
          </cell>
          <cell r="G31">
            <v>1.0714999999999999</v>
          </cell>
          <cell r="I31">
            <v>1.3916999999999999</v>
          </cell>
          <cell r="K31">
            <v>1.4475</v>
          </cell>
          <cell r="M31">
            <v>1.6459999999999999</v>
          </cell>
        </row>
        <row r="32">
          <cell r="C32">
            <v>0.73</v>
          </cell>
          <cell r="E32">
            <v>0.84199999999999997</v>
          </cell>
          <cell r="G32">
            <v>1.0720000000000001</v>
          </cell>
          <cell r="I32">
            <v>1.3633</v>
          </cell>
          <cell r="K32">
            <v>1.4407000000000001</v>
          </cell>
          <cell r="M32">
            <v>1.8149</v>
          </cell>
        </row>
        <row r="33">
          <cell r="C33">
            <v>0.73</v>
          </cell>
          <cell r="E33">
            <v>0.88600000000000001</v>
          </cell>
          <cell r="G33">
            <v>1.0740000000000001</v>
          </cell>
          <cell r="I33">
            <v>1.3553999999999999</v>
          </cell>
          <cell r="K33">
            <v>1.5230999999999999</v>
          </cell>
          <cell r="M33">
            <v>1.84</v>
          </cell>
        </row>
        <row r="34">
          <cell r="C34">
            <v>0.80700000000000005</v>
          </cell>
          <cell r="E34">
            <v>0.89449999999999996</v>
          </cell>
          <cell r="G34">
            <v>1.2892999999999999</v>
          </cell>
          <cell r="I34">
            <v>1.3560000000000001</v>
          </cell>
          <cell r="K34">
            <v>1.5259</v>
          </cell>
          <cell r="M34">
            <v>1.83</v>
          </cell>
        </row>
        <row r="35">
          <cell r="C35">
            <v>0.80700000000000005</v>
          </cell>
          <cell r="E35">
            <v>0.90200000000000002</v>
          </cell>
          <cell r="G35">
            <v>1.369</v>
          </cell>
          <cell r="I35">
            <v>1.3464</v>
          </cell>
          <cell r="K35">
            <v>1.6366000000000001</v>
          </cell>
          <cell r="M35">
            <v>1.8327500000000001</v>
          </cell>
        </row>
        <row r="40">
          <cell r="C40">
            <v>1.8360000000000001</v>
          </cell>
          <cell r="E40">
            <v>1.8240000000000001</v>
          </cell>
          <cell r="G40">
            <v>1.875</v>
          </cell>
          <cell r="I40">
            <v>2.1080000000000001</v>
          </cell>
          <cell r="K40">
            <v>1.986</v>
          </cell>
          <cell r="M40">
            <v>1.9950000000000001</v>
          </cell>
        </row>
        <row r="41">
          <cell r="C41">
            <v>1.837</v>
          </cell>
          <cell r="E41">
            <v>1.8220000000000001</v>
          </cell>
          <cell r="G41">
            <v>1.8759999999999999</v>
          </cell>
          <cell r="I41">
            <v>2.1080000000000001</v>
          </cell>
          <cell r="K41">
            <v>1.9910000000000001</v>
          </cell>
          <cell r="M41">
            <v>2</v>
          </cell>
        </row>
        <row r="42">
          <cell r="C42">
            <v>1.8240000000000001</v>
          </cell>
          <cell r="E42">
            <v>1.8280000000000001</v>
          </cell>
          <cell r="G42">
            <v>1.8769999999999996</v>
          </cell>
          <cell r="I42">
            <v>2.1070000000000002</v>
          </cell>
          <cell r="K42">
            <v>1.9890000000000003</v>
          </cell>
          <cell r="M42">
            <v>2.008</v>
          </cell>
        </row>
        <row r="43">
          <cell r="C43">
            <v>1.821</v>
          </cell>
          <cell r="E43">
            <v>1.8420000000000001</v>
          </cell>
          <cell r="G43">
            <v>1.8779999999999999</v>
          </cell>
          <cell r="I43">
            <v>2.1070000000000002</v>
          </cell>
          <cell r="K43">
            <v>1.988</v>
          </cell>
          <cell r="M43">
            <v>2.012</v>
          </cell>
        </row>
        <row r="44">
          <cell r="C44">
            <v>1.825</v>
          </cell>
          <cell r="E44">
            <v>1.835</v>
          </cell>
          <cell r="G44">
            <v>2.0459999999999998</v>
          </cell>
          <cell r="I44">
            <v>2.1059999999999999</v>
          </cell>
          <cell r="K44">
            <v>1.9860000000000002</v>
          </cell>
          <cell r="M44">
            <v>2.0099999999999998</v>
          </cell>
        </row>
        <row r="45">
          <cell r="C45">
            <v>1.788</v>
          </cell>
          <cell r="E45">
            <v>1.8207100000000001</v>
          </cell>
          <cell r="G45">
            <v>2.052</v>
          </cell>
          <cell r="I45">
            <v>2.0219999999999998</v>
          </cell>
          <cell r="K45">
            <v>1.9830000000000003</v>
          </cell>
          <cell r="M45">
            <v>2.008</v>
          </cell>
        </row>
        <row r="46">
          <cell r="C46">
            <v>1.8280000000000001</v>
          </cell>
          <cell r="E46">
            <v>1.82213</v>
          </cell>
          <cell r="G46">
            <v>2.1</v>
          </cell>
          <cell r="I46">
            <v>1.9970000000000001</v>
          </cell>
          <cell r="K46">
            <v>1.9830000000000001</v>
          </cell>
          <cell r="M46">
            <v>2.0089999999999999</v>
          </cell>
        </row>
        <row r="47">
          <cell r="C47">
            <v>1.796</v>
          </cell>
          <cell r="E47">
            <v>1.81525</v>
          </cell>
          <cell r="G47">
            <v>2.1030000000000002</v>
          </cell>
          <cell r="I47">
            <v>1.9929999999999994</v>
          </cell>
          <cell r="K47">
            <v>1.982</v>
          </cell>
          <cell r="M47">
            <v>2.0089999999999999</v>
          </cell>
        </row>
        <row r="48">
          <cell r="C48">
            <v>1.8360000000000001</v>
          </cell>
          <cell r="E48">
            <v>1.8089999999999999</v>
          </cell>
          <cell r="G48">
            <v>2.105</v>
          </cell>
          <cell r="I48">
            <v>1.9830000000000001</v>
          </cell>
          <cell r="K48">
            <v>1.9810000000000001</v>
          </cell>
          <cell r="M48">
            <v>2.0259999999999998</v>
          </cell>
        </row>
        <row r="49">
          <cell r="C49">
            <v>1.8362000000000003</v>
          </cell>
          <cell r="E49">
            <v>1.8146249999999995</v>
          </cell>
          <cell r="G49">
            <v>2.1059999999999999</v>
          </cell>
          <cell r="I49">
            <v>1.974</v>
          </cell>
          <cell r="K49">
            <v>1.982</v>
          </cell>
          <cell r="M49">
            <v>2.0299999999999998</v>
          </cell>
        </row>
        <row r="50">
          <cell r="C50">
            <v>1.8080000000000001</v>
          </cell>
          <cell r="E50">
            <v>1.8214999999999997</v>
          </cell>
          <cell r="G50">
            <v>2.1080000000000001</v>
          </cell>
          <cell r="I50">
            <v>1.9780000000000006</v>
          </cell>
          <cell r="K50">
            <v>1.982</v>
          </cell>
          <cell r="M50">
            <v>2.0310000000000001</v>
          </cell>
        </row>
        <row r="51">
          <cell r="C51">
            <v>1.8180000000000001</v>
          </cell>
          <cell r="E51">
            <v>1.8358750000000001</v>
          </cell>
          <cell r="G51">
            <v>2.1080000000000001</v>
          </cell>
          <cell r="I51">
            <v>1.9790000000000001</v>
          </cell>
          <cell r="K51">
            <v>1.9830000000000001</v>
          </cell>
          <cell r="M51">
            <v>2.0329999999999999</v>
          </cell>
        </row>
        <row r="55">
          <cell r="C55">
            <v>2.04</v>
          </cell>
          <cell r="E55">
            <v>2.1640000000000001</v>
          </cell>
          <cell r="G55">
            <v>2.4869999999999997</v>
          </cell>
          <cell r="I55">
            <v>2.613</v>
          </cell>
          <cell r="K55">
            <v>3.0100000000000002</v>
          </cell>
          <cell r="M55">
            <v>3.1209999999999996</v>
          </cell>
          <cell r="O55">
            <v>3.3809999999999998</v>
          </cell>
        </row>
        <row r="56">
          <cell r="C56">
            <v>2.0409999999999999</v>
          </cell>
          <cell r="E56">
            <v>2.2549999999999994</v>
          </cell>
          <cell r="G56">
            <v>2.4929999999999999</v>
          </cell>
          <cell r="I56">
            <v>2.8079999999999998</v>
          </cell>
          <cell r="K56">
            <v>3.02</v>
          </cell>
          <cell r="M56">
            <v>3.0970000000000004</v>
          </cell>
          <cell r="O56">
            <v>3.3829999999999996</v>
          </cell>
        </row>
        <row r="57">
          <cell r="C57">
            <v>2.0430000000000001</v>
          </cell>
          <cell r="E57">
            <v>2.3210000000000002</v>
          </cell>
          <cell r="G57">
            <v>2.4990000000000001</v>
          </cell>
          <cell r="I57">
            <v>2.8099999999999996</v>
          </cell>
          <cell r="K57">
            <v>3.0210000000000004</v>
          </cell>
          <cell r="M57">
            <v>3.0419999999999994</v>
          </cell>
          <cell r="O57">
            <v>3.3909999999999991</v>
          </cell>
        </row>
        <row r="58">
          <cell r="C58">
            <v>2.0459999999999998</v>
          </cell>
          <cell r="E58">
            <v>2.3340000000000001</v>
          </cell>
          <cell r="G58">
            <v>2.5009999999999999</v>
          </cell>
          <cell r="I58">
            <v>2.8090000000000006</v>
          </cell>
          <cell r="K58">
            <v>3.0210000000000004</v>
          </cell>
          <cell r="M58">
            <v>3.012</v>
          </cell>
        </row>
        <row r="59">
          <cell r="C59">
            <v>2.0470000000000002</v>
          </cell>
          <cell r="E59">
            <v>2.3340000000000001</v>
          </cell>
          <cell r="G59">
            <v>2.5</v>
          </cell>
          <cell r="I59">
            <v>2.8069999999999995</v>
          </cell>
          <cell r="K59">
            <v>3.0150000000000001</v>
          </cell>
          <cell r="M59">
            <v>3.0190000000000006</v>
          </cell>
        </row>
        <row r="60">
          <cell r="C60">
            <v>2.0430000000000001</v>
          </cell>
          <cell r="E60">
            <v>2.3340000000000001</v>
          </cell>
          <cell r="G60">
            <v>2.5</v>
          </cell>
          <cell r="I60">
            <v>2.8069999999999995</v>
          </cell>
          <cell r="K60">
            <v>3.0130000000000003</v>
          </cell>
          <cell r="M60">
            <v>2.9580000000000006</v>
          </cell>
        </row>
        <row r="61">
          <cell r="C61">
            <v>2.1039999999999996</v>
          </cell>
          <cell r="E61">
            <v>2.3330000000000006</v>
          </cell>
          <cell r="G61">
            <v>2.4990000000000001</v>
          </cell>
          <cell r="I61">
            <v>2.8050000000000002</v>
          </cell>
          <cell r="K61">
            <v>3.0100000000000002</v>
          </cell>
          <cell r="M61">
            <v>3.0560000000000005</v>
          </cell>
        </row>
        <row r="62">
          <cell r="C62">
            <v>2.1320000000000001</v>
          </cell>
          <cell r="E62">
            <v>2.331</v>
          </cell>
          <cell r="G62">
            <v>2.4990000000000001</v>
          </cell>
          <cell r="I62">
            <v>2.7989999999999999</v>
          </cell>
          <cell r="K62">
            <v>3.0070000000000006</v>
          </cell>
          <cell r="M62">
            <v>3.1030000000000006</v>
          </cell>
        </row>
        <row r="63">
          <cell r="C63">
            <v>2.1379999999999999</v>
          </cell>
          <cell r="E63">
            <v>2.3300000000000005</v>
          </cell>
          <cell r="G63">
            <v>2.5009999999999999</v>
          </cell>
          <cell r="I63">
            <v>2.8129999999999997</v>
          </cell>
          <cell r="K63">
            <v>3.0059999999999998</v>
          </cell>
          <cell r="M63">
            <v>3.2010000000000001</v>
          </cell>
        </row>
        <row r="64">
          <cell r="C64">
            <v>2.1460000000000004</v>
          </cell>
          <cell r="E64">
            <v>2.3330000000000006</v>
          </cell>
          <cell r="G64">
            <v>2.5</v>
          </cell>
          <cell r="I64">
            <v>2.93</v>
          </cell>
          <cell r="K64">
            <v>3.0079999999999996</v>
          </cell>
          <cell r="M64">
            <v>3.2139999999999995</v>
          </cell>
        </row>
        <row r="65">
          <cell r="C65">
            <v>2.15</v>
          </cell>
          <cell r="E65">
            <v>2.3320000000000003</v>
          </cell>
          <cell r="G65">
            <v>2.6</v>
          </cell>
          <cell r="I65">
            <v>2.9769999999999999</v>
          </cell>
          <cell r="K65">
            <v>2.9839999999999995</v>
          </cell>
          <cell r="M65">
            <v>3.3030000000000004</v>
          </cell>
        </row>
        <row r="66">
          <cell r="C66">
            <v>2.1520000000000006</v>
          </cell>
          <cell r="E66">
            <v>2.4750000000000001</v>
          </cell>
          <cell r="G66">
            <v>2.6069999999999998</v>
          </cell>
          <cell r="I66">
            <v>2.9860000000000002</v>
          </cell>
          <cell r="K66">
            <v>3.0509999999999997</v>
          </cell>
          <cell r="M66">
            <v>3.3260000000000001</v>
          </cell>
        </row>
      </sheetData>
      <sheetData sheetId="1"/>
      <sheetData sheetId="2">
        <row r="8">
          <cell r="A8">
            <v>1</v>
          </cell>
          <cell r="B8" t="str">
            <v>JULHO|94</v>
          </cell>
          <cell r="C8">
            <v>0.34</v>
          </cell>
          <cell r="D8">
            <v>100</v>
          </cell>
        </row>
        <row r="9">
          <cell r="A9">
            <v>2</v>
          </cell>
          <cell r="B9" t="str">
            <v>AGOSTO|94</v>
          </cell>
          <cell r="C9">
            <v>0.34</v>
          </cell>
          <cell r="D9">
            <v>99.999999999999986</v>
          </cell>
        </row>
        <row r="10">
          <cell r="A10">
            <v>3</v>
          </cell>
          <cell r="B10" t="str">
            <v>SETEMBRO|94</v>
          </cell>
          <cell r="C10">
            <v>0.34</v>
          </cell>
          <cell r="D10">
            <v>99.999999999999986</v>
          </cell>
        </row>
        <row r="11">
          <cell r="A11">
            <v>4</v>
          </cell>
          <cell r="B11" t="str">
            <v>OUTUBRO|94</v>
          </cell>
          <cell r="C11">
            <v>0.34</v>
          </cell>
          <cell r="D11">
            <v>99.999999999999986</v>
          </cell>
        </row>
        <row r="12">
          <cell r="A12">
            <v>5</v>
          </cell>
          <cell r="B12" t="str">
            <v>NOVEMBRO|94</v>
          </cell>
          <cell r="C12">
            <v>0.34</v>
          </cell>
          <cell r="D12">
            <v>99.999999999999986</v>
          </cell>
        </row>
        <row r="13">
          <cell r="A13">
            <v>6</v>
          </cell>
          <cell r="B13" t="str">
            <v>DEZEMBRO|94</v>
          </cell>
          <cell r="C13">
            <v>0.34</v>
          </cell>
          <cell r="D13">
            <v>99.999999999999986</v>
          </cell>
        </row>
        <row r="14">
          <cell r="A14">
            <v>7</v>
          </cell>
          <cell r="B14" t="str">
            <v>JANEIRO|95</v>
          </cell>
          <cell r="C14">
            <v>0.34</v>
          </cell>
          <cell r="D14">
            <v>99.999999999999986</v>
          </cell>
        </row>
        <row r="15">
          <cell r="A15">
            <v>8</v>
          </cell>
          <cell r="B15" t="str">
            <v>FEVEREIRO|95</v>
          </cell>
          <cell r="C15">
            <v>0.34</v>
          </cell>
          <cell r="D15">
            <v>99.999999999999986</v>
          </cell>
        </row>
        <row r="16">
          <cell r="A16">
            <v>9</v>
          </cell>
          <cell r="B16" t="str">
            <v>MARÇO|95</v>
          </cell>
          <cell r="C16">
            <v>0.34</v>
          </cell>
          <cell r="D16">
            <v>99.999999999999986</v>
          </cell>
        </row>
        <row r="17">
          <cell r="A17">
            <v>10</v>
          </cell>
          <cell r="B17" t="str">
            <v>ABRIL|95</v>
          </cell>
          <cell r="C17">
            <v>0.34</v>
          </cell>
          <cell r="D17">
            <v>99.999999999999986</v>
          </cell>
        </row>
        <row r="18">
          <cell r="A18">
            <v>11</v>
          </cell>
          <cell r="B18" t="str">
            <v>MAIO|95</v>
          </cell>
          <cell r="C18">
            <v>0.34</v>
          </cell>
          <cell r="D18">
            <v>99.999999999999986</v>
          </cell>
        </row>
        <row r="19">
          <cell r="A19">
            <v>12</v>
          </cell>
          <cell r="B19" t="str">
            <v>JUNHO|95</v>
          </cell>
          <cell r="C19">
            <v>0.34</v>
          </cell>
          <cell r="D19">
            <v>99.999999999999986</v>
          </cell>
        </row>
        <row r="20">
          <cell r="A20">
            <v>13</v>
          </cell>
          <cell r="B20" t="str">
            <v>JULHO|95</v>
          </cell>
          <cell r="C20">
            <v>0.34</v>
          </cell>
          <cell r="D20">
            <v>99.999999999999986</v>
          </cell>
        </row>
        <row r="21">
          <cell r="A21">
            <v>14</v>
          </cell>
          <cell r="B21" t="str">
            <v>AGOSTO|95</v>
          </cell>
          <cell r="C21">
            <v>0.34</v>
          </cell>
          <cell r="D21">
            <v>99.999999999999986</v>
          </cell>
        </row>
        <row r="22">
          <cell r="A22">
            <v>15</v>
          </cell>
          <cell r="B22" t="str">
            <v>SETEMBRO|95</v>
          </cell>
          <cell r="C22">
            <v>0.34</v>
          </cell>
          <cell r="D22">
            <v>99.999999999999986</v>
          </cell>
        </row>
        <row r="23">
          <cell r="A23">
            <v>16</v>
          </cell>
          <cell r="B23" t="str">
            <v>OUTUBRO|95</v>
          </cell>
          <cell r="C23">
            <v>0.38</v>
          </cell>
          <cell r="D23">
            <v>111.76470588235293</v>
          </cell>
        </row>
        <row r="24">
          <cell r="A24">
            <v>17</v>
          </cell>
          <cell r="B24" t="str">
            <v>NOVEMBRO|95</v>
          </cell>
          <cell r="C24">
            <v>0.38</v>
          </cell>
          <cell r="D24">
            <v>111.76470588235293</v>
          </cell>
        </row>
        <row r="25">
          <cell r="A25">
            <v>18</v>
          </cell>
          <cell r="B25" t="str">
            <v>DEZEMBRO|95</v>
          </cell>
          <cell r="C25">
            <v>0.38</v>
          </cell>
          <cell r="D25">
            <v>111.76470588235293</v>
          </cell>
        </row>
        <row r="26">
          <cell r="A26">
            <v>19</v>
          </cell>
          <cell r="B26" t="str">
            <v>JANEIRO|96</v>
          </cell>
          <cell r="C26">
            <v>0.38</v>
          </cell>
          <cell r="D26">
            <v>111.76470588235293</v>
          </cell>
        </row>
        <row r="27">
          <cell r="A27">
            <v>20</v>
          </cell>
          <cell r="B27" t="str">
            <v>FEVEREIRO|96</v>
          </cell>
          <cell r="C27">
            <v>0.38</v>
          </cell>
          <cell r="D27">
            <v>111.76470588235293</v>
          </cell>
        </row>
        <row r="28">
          <cell r="A28">
            <v>21</v>
          </cell>
          <cell r="B28" t="str">
            <v>MARÇO|96</v>
          </cell>
          <cell r="C28">
            <v>0.38</v>
          </cell>
          <cell r="D28">
            <v>111.76470588235293</v>
          </cell>
        </row>
        <row r="29">
          <cell r="A29">
            <v>22</v>
          </cell>
          <cell r="B29" t="str">
            <v>ABRIL|96</v>
          </cell>
          <cell r="C29">
            <v>0.38</v>
          </cell>
          <cell r="D29">
            <v>111.76470588235293</v>
          </cell>
        </row>
        <row r="30">
          <cell r="A30">
            <v>23</v>
          </cell>
          <cell r="B30" t="str">
            <v>MAIO|96</v>
          </cell>
          <cell r="C30">
            <v>0.38</v>
          </cell>
          <cell r="D30">
            <v>111.76470588235293</v>
          </cell>
        </row>
        <row r="31">
          <cell r="A31">
            <v>24</v>
          </cell>
          <cell r="B31" t="str">
            <v>JUNHO|96</v>
          </cell>
          <cell r="C31">
            <v>0.38</v>
          </cell>
          <cell r="D31">
            <v>111.76470588235293</v>
          </cell>
        </row>
        <row r="32">
          <cell r="A32">
            <v>25</v>
          </cell>
          <cell r="B32" t="str">
            <v>JULHO|96</v>
          </cell>
          <cell r="C32">
            <v>0.38</v>
          </cell>
          <cell r="D32">
            <v>111.76470588235293</v>
          </cell>
        </row>
        <row r="33">
          <cell r="A33">
            <v>26</v>
          </cell>
          <cell r="B33" t="str">
            <v>AGOSTO|96</v>
          </cell>
          <cell r="C33">
            <v>0.38</v>
          </cell>
          <cell r="D33">
            <v>111.76470588235293</v>
          </cell>
        </row>
        <row r="34">
          <cell r="A34">
            <v>27</v>
          </cell>
          <cell r="B34" t="str">
            <v>SETEMBRO|96</v>
          </cell>
          <cell r="C34">
            <v>0.38</v>
          </cell>
          <cell r="D34">
            <v>111.76470588235293</v>
          </cell>
        </row>
        <row r="35">
          <cell r="A35">
            <v>28</v>
          </cell>
          <cell r="B35" t="str">
            <v>OUTUBRO|96</v>
          </cell>
          <cell r="C35">
            <v>0.38</v>
          </cell>
          <cell r="D35">
            <v>111.76470588235293</v>
          </cell>
        </row>
        <row r="36">
          <cell r="A36">
            <v>29</v>
          </cell>
          <cell r="B36" t="str">
            <v>NOVEMBRO|96</v>
          </cell>
          <cell r="C36">
            <v>0.38</v>
          </cell>
          <cell r="D36">
            <v>111.76470588235293</v>
          </cell>
        </row>
        <row r="37">
          <cell r="A37">
            <v>30</v>
          </cell>
          <cell r="B37" t="str">
            <v>DEZEMBRO|96</v>
          </cell>
          <cell r="C37">
            <v>0.41</v>
          </cell>
          <cell r="D37">
            <v>120.58823529411764</v>
          </cell>
        </row>
        <row r="38">
          <cell r="A38">
            <v>31</v>
          </cell>
          <cell r="B38" t="str">
            <v>JANEIRO|97</v>
          </cell>
          <cell r="C38">
            <v>0.41</v>
          </cell>
          <cell r="D38">
            <v>120.58823529411764</v>
          </cell>
        </row>
        <row r="39">
          <cell r="A39">
            <v>32</v>
          </cell>
          <cell r="B39" t="str">
            <v>FEVEREIRO|97</v>
          </cell>
          <cell r="C39">
            <v>0.41</v>
          </cell>
          <cell r="D39">
            <v>120.58823529411764</v>
          </cell>
        </row>
        <row r="40">
          <cell r="A40">
            <v>33</v>
          </cell>
          <cell r="B40" t="str">
            <v>MARÇO|97</v>
          </cell>
          <cell r="C40">
            <v>0.41</v>
          </cell>
          <cell r="D40">
            <v>120.58823529411764</v>
          </cell>
        </row>
        <row r="41">
          <cell r="A41">
            <v>34</v>
          </cell>
          <cell r="B41" t="str">
            <v>ABRIL|97</v>
          </cell>
          <cell r="C41">
            <v>0.41</v>
          </cell>
          <cell r="D41">
            <v>120.58823529411764</v>
          </cell>
        </row>
        <row r="42">
          <cell r="A42">
            <v>35</v>
          </cell>
          <cell r="B42" t="str">
            <v>MAIO|97</v>
          </cell>
          <cell r="C42">
            <v>0.41</v>
          </cell>
          <cell r="D42">
            <v>120.58823529411764</v>
          </cell>
        </row>
        <row r="43">
          <cell r="A43">
            <v>36</v>
          </cell>
          <cell r="B43" t="str">
            <v>JUNHO|97</v>
          </cell>
          <cell r="C43">
            <v>0.41</v>
          </cell>
          <cell r="D43">
            <v>120.58823529411764</v>
          </cell>
        </row>
        <row r="44">
          <cell r="A44">
            <v>37</v>
          </cell>
          <cell r="B44" t="str">
            <v>JULHO|97</v>
          </cell>
          <cell r="C44">
            <v>0.41</v>
          </cell>
          <cell r="D44">
            <v>120.58823529411764</v>
          </cell>
        </row>
        <row r="45">
          <cell r="A45">
            <v>38</v>
          </cell>
          <cell r="B45" t="str">
            <v>AGOSTO|97</v>
          </cell>
          <cell r="C45">
            <v>0.41</v>
          </cell>
          <cell r="D45">
            <v>120.58823529411764</v>
          </cell>
        </row>
        <row r="46">
          <cell r="A46">
            <v>39</v>
          </cell>
          <cell r="B46" t="str">
            <v>SETEMBRO|97</v>
          </cell>
          <cell r="C46">
            <v>0.41</v>
          </cell>
          <cell r="D46">
            <v>120.58823529411764</v>
          </cell>
        </row>
        <row r="47">
          <cell r="A47">
            <v>40</v>
          </cell>
          <cell r="B47" t="str">
            <v>OUTUBRO|97</v>
          </cell>
          <cell r="C47">
            <v>0.41</v>
          </cell>
          <cell r="D47">
            <v>120.58823529411764</v>
          </cell>
        </row>
        <row r="48">
          <cell r="A48">
            <v>41</v>
          </cell>
          <cell r="B48" t="str">
            <v>NOVEMBRO|97</v>
          </cell>
          <cell r="C48">
            <v>0.41</v>
          </cell>
          <cell r="D48">
            <v>120.58823529411764</v>
          </cell>
        </row>
        <row r="49">
          <cell r="A49">
            <v>42</v>
          </cell>
          <cell r="B49" t="str">
            <v>DEZEMBRO|97</v>
          </cell>
          <cell r="C49">
            <v>0.43</v>
          </cell>
          <cell r="D49">
            <v>126.4705882352941</v>
          </cell>
        </row>
        <row r="50">
          <cell r="A50">
            <v>43</v>
          </cell>
          <cell r="B50" t="str">
            <v>JANEIRO|98</v>
          </cell>
          <cell r="C50">
            <v>0.43</v>
          </cell>
          <cell r="D50">
            <v>126.4705882352941</v>
          </cell>
        </row>
        <row r="51">
          <cell r="A51">
            <v>44</v>
          </cell>
          <cell r="B51" t="str">
            <v>FEVEREIRO|98</v>
          </cell>
          <cell r="C51">
            <v>0.43</v>
          </cell>
          <cell r="D51">
            <v>126.4705882352941</v>
          </cell>
        </row>
        <row r="52">
          <cell r="A52">
            <v>45</v>
          </cell>
          <cell r="B52" t="str">
            <v>MARÇO|98</v>
          </cell>
          <cell r="C52">
            <v>0.43</v>
          </cell>
          <cell r="D52">
            <v>126.4705882352941</v>
          </cell>
        </row>
        <row r="53">
          <cell r="A53">
            <v>46</v>
          </cell>
          <cell r="B53" t="str">
            <v>ABRIL|98</v>
          </cell>
          <cell r="C53">
            <v>0.43</v>
          </cell>
          <cell r="D53">
            <v>126.4705882352941</v>
          </cell>
        </row>
        <row r="54">
          <cell r="A54">
            <v>47</v>
          </cell>
          <cell r="B54" t="str">
            <v>MAIO|98</v>
          </cell>
          <cell r="C54">
            <v>0.43</v>
          </cell>
          <cell r="D54">
            <v>126.4705882352941</v>
          </cell>
        </row>
        <row r="55">
          <cell r="A55">
            <v>48</v>
          </cell>
          <cell r="B55" t="str">
            <v>JUNHO|98</v>
          </cell>
          <cell r="C55">
            <v>0.43</v>
          </cell>
          <cell r="D55">
            <v>126.4705882352941</v>
          </cell>
        </row>
        <row r="56">
          <cell r="A56">
            <v>49</v>
          </cell>
          <cell r="B56" t="str">
            <v>JULHO|98</v>
          </cell>
          <cell r="C56">
            <v>0.43</v>
          </cell>
          <cell r="D56">
            <v>126.4705882352941</v>
          </cell>
        </row>
        <row r="57">
          <cell r="A57">
            <v>50</v>
          </cell>
          <cell r="B57" t="str">
            <v>AGOSTO|98</v>
          </cell>
          <cell r="C57">
            <v>0.43</v>
          </cell>
          <cell r="D57">
            <v>126.4705882352941</v>
          </cell>
        </row>
        <row r="58">
          <cell r="A58">
            <v>51</v>
          </cell>
          <cell r="B58" t="str">
            <v>SETEMBRO|98</v>
          </cell>
          <cell r="C58">
            <v>0.41</v>
          </cell>
          <cell r="D58">
            <v>120.58823529411764</v>
          </cell>
        </row>
        <row r="59">
          <cell r="A59">
            <v>52</v>
          </cell>
          <cell r="B59" t="str">
            <v>OUTUBRO|98</v>
          </cell>
          <cell r="C59">
            <v>0.41</v>
          </cell>
          <cell r="D59">
            <v>120.58823529411764</v>
          </cell>
        </row>
        <row r="60">
          <cell r="A60">
            <v>53</v>
          </cell>
          <cell r="B60" t="str">
            <v>NOVEMBRO|98</v>
          </cell>
          <cell r="C60">
            <v>0.41</v>
          </cell>
          <cell r="D60">
            <v>120.58823529411764</v>
          </cell>
        </row>
        <row r="61">
          <cell r="A61">
            <v>54</v>
          </cell>
          <cell r="B61" t="str">
            <v>DEZEMBRO|98</v>
          </cell>
          <cell r="C61">
            <v>0.42</v>
          </cell>
          <cell r="D61">
            <v>123.52941176470587</v>
          </cell>
        </row>
        <row r="62">
          <cell r="A62">
            <v>55</v>
          </cell>
          <cell r="B62" t="str">
            <v>JANEIRO|99</v>
          </cell>
          <cell r="C62">
            <v>0.42</v>
          </cell>
          <cell r="D62">
            <v>123.52941176470587</v>
          </cell>
        </row>
        <row r="63">
          <cell r="A63">
            <v>56</v>
          </cell>
          <cell r="B63" t="str">
            <v>FEVEREIRO|99</v>
          </cell>
          <cell r="C63">
            <v>0.43314600000000003</v>
          </cell>
          <cell r="D63">
            <v>127.39588235294119</v>
          </cell>
        </row>
        <row r="64">
          <cell r="A64">
            <v>57</v>
          </cell>
          <cell r="B64" t="str">
            <v>MARÇO|99</v>
          </cell>
          <cell r="C64">
            <v>0.46749447780000003</v>
          </cell>
          <cell r="D64">
            <v>137.49837582352941</v>
          </cell>
        </row>
        <row r="65">
          <cell r="A65">
            <v>58</v>
          </cell>
          <cell r="B65" t="str">
            <v>ABRIL|99</v>
          </cell>
          <cell r="C65">
            <v>0.50442654154620004</v>
          </cell>
          <cell r="D65">
            <v>148.36074751358822</v>
          </cell>
        </row>
        <row r="66">
          <cell r="A66">
            <v>59</v>
          </cell>
          <cell r="B66" t="str">
            <v>MAIO|99</v>
          </cell>
          <cell r="C66">
            <v>0.50483008277943686</v>
          </cell>
          <cell r="D66">
            <v>148.47943611159909</v>
          </cell>
        </row>
        <row r="67">
          <cell r="A67">
            <v>60</v>
          </cell>
          <cell r="B67" t="str">
            <v>JUNHO|99</v>
          </cell>
          <cell r="C67">
            <v>0.50483008277943686</v>
          </cell>
          <cell r="D67">
            <v>148.47943611159909</v>
          </cell>
        </row>
        <row r="68">
          <cell r="A68">
            <v>61</v>
          </cell>
          <cell r="B68" t="str">
            <v>JULHO|99</v>
          </cell>
          <cell r="C68">
            <v>0.56999999999999995</v>
          </cell>
          <cell r="D68">
            <v>167.64705882352939</v>
          </cell>
        </row>
        <row r="69">
          <cell r="A69">
            <v>62</v>
          </cell>
          <cell r="B69" t="str">
            <v>AGOSTO|99</v>
          </cell>
          <cell r="C69">
            <v>0.6</v>
          </cell>
          <cell r="D69">
            <v>176.47058823529412</v>
          </cell>
        </row>
        <row r="70">
          <cell r="A70">
            <v>63</v>
          </cell>
          <cell r="B70" t="str">
            <v>SETEMBRO|99</v>
          </cell>
          <cell r="C70">
            <v>0.6</v>
          </cell>
          <cell r="D70">
            <v>176.47058823529412</v>
          </cell>
        </row>
        <row r="71">
          <cell r="A71">
            <v>64</v>
          </cell>
          <cell r="B71" t="str">
            <v>OUTUBRO|99</v>
          </cell>
          <cell r="C71">
            <v>0.6</v>
          </cell>
          <cell r="D71">
            <v>176.47058823529412</v>
          </cell>
        </row>
        <row r="72">
          <cell r="A72">
            <v>65</v>
          </cell>
          <cell r="B72" t="str">
            <v>NOVEMBRO|99</v>
          </cell>
          <cell r="C72">
            <v>0.61</v>
          </cell>
          <cell r="D72">
            <v>179.41176470588235</v>
          </cell>
        </row>
        <row r="73">
          <cell r="A73">
            <v>66</v>
          </cell>
          <cell r="B73" t="str">
            <v>DEZEMBRO|99</v>
          </cell>
          <cell r="C73">
            <v>0.61</v>
          </cell>
          <cell r="D73">
            <v>179.41176470588235</v>
          </cell>
        </row>
        <row r="74">
          <cell r="A74">
            <v>67</v>
          </cell>
          <cell r="B74" t="str">
            <v>JANEIRO|00</v>
          </cell>
          <cell r="C74">
            <v>0.60899999999999999</v>
          </cell>
          <cell r="D74">
            <v>179.11764705882351</v>
          </cell>
        </row>
        <row r="75">
          <cell r="A75">
            <v>68</v>
          </cell>
          <cell r="B75" t="str">
            <v>FEVEREIRO|00</v>
          </cell>
          <cell r="C75">
            <v>0.60699999999999998</v>
          </cell>
          <cell r="D75">
            <v>178.52941176470586</v>
          </cell>
        </row>
        <row r="76">
          <cell r="A76">
            <v>69</v>
          </cell>
          <cell r="B76" t="str">
            <v>MARÇO|00</v>
          </cell>
          <cell r="C76">
            <v>0.64900000000000002</v>
          </cell>
          <cell r="D76">
            <v>190.88235294117646</v>
          </cell>
        </row>
        <row r="77">
          <cell r="A77">
            <v>70</v>
          </cell>
          <cell r="B77" t="str">
            <v>ABRIL|00</v>
          </cell>
          <cell r="C77">
            <v>0.65</v>
          </cell>
          <cell r="D77">
            <v>191.17647058823528</v>
          </cell>
        </row>
        <row r="78">
          <cell r="A78">
            <v>71</v>
          </cell>
          <cell r="B78" t="str">
            <v>MAIO|00</v>
          </cell>
          <cell r="C78">
            <v>0.65</v>
          </cell>
          <cell r="D78">
            <v>191.17647058823528</v>
          </cell>
        </row>
        <row r="79">
          <cell r="A79">
            <v>72</v>
          </cell>
          <cell r="B79" t="str">
            <v>JUNHO|00</v>
          </cell>
          <cell r="C79">
            <v>0.65</v>
          </cell>
          <cell r="D79">
            <v>191.17647058823528</v>
          </cell>
        </row>
        <row r="80">
          <cell r="A80">
            <v>73</v>
          </cell>
          <cell r="B80" t="str">
            <v>JULHO|00</v>
          </cell>
          <cell r="C80">
            <v>0.73</v>
          </cell>
          <cell r="D80">
            <v>214.70588235294116</v>
          </cell>
        </row>
        <row r="81">
          <cell r="A81">
            <v>74</v>
          </cell>
          <cell r="B81" t="str">
            <v>AGOSTO|00</v>
          </cell>
          <cell r="C81">
            <v>0.73</v>
          </cell>
          <cell r="D81">
            <v>214.70588235294116</v>
          </cell>
        </row>
        <row r="82">
          <cell r="A82">
            <v>75</v>
          </cell>
          <cell r="B82" t="str">
            <v>SETEMBRO|00</v>
          </cell>
          <cell r="C82">
            <v>0.73</v>
          </cell>
          <cell r="D82">
            <v>214.70588235294116</v>
          </cell>
        </row>
        <row r="83">
          <cell r="A83">
            <v>76</v>
          </cell>
          <cell r="B83" t="str">
            <v>OUTUBRO|00</v>
          </cell>
          <cell r="C83">
            <v>0.73</v>
          </cell>
          <cell r="D83">
            <v>214.70588235294116</v>
          </cell>
        </row>
        <row r="84">
          <cell r="A84">
            <v>77</v>
          </cell>
          <cell r="B84" t="str">
            <v>NOVEMBRO|00</v>
          </cell>
          <cell r="C84">
            <v>0.80700000000000005</v>
          </cell>
          <cell r="D84">
            <v>237.35294117647058</v>
          </cell>
        </row>
        <row r="85">
          <cell r="A85">
            <v>78</v>
          </cell>
          <cell r="B85" t="str">
            <v>DEZEMBRO|00</v>
          </cell>
          <cell r="C85">
            <v>0.80700000000000005</v>
          </cell>
          <cell r="D85">
            <v>237.35294117647058</v>
          </cell>
        </row>
        <row r="86">
          <cell r="A86">
            <v>79</v>
          </cell>
          <cell r="B86" t="str">
            <v>JANEIRO|01</v>
          </cell>
          <cell r="C86">
            <v>0.76700000000000002</v>
          </cell>
          <cell r="D86">
            <v>225.58823529411765</v>
          </cell>
        </row>
        <row r="87">
          <cell r="A87">
            <v>80</v>
          </cell>
          <cell r="B87" t="str">
            <v>FEVEREIRO|01</v>
          </cell>
          <cell r="C87">
            <v>0.76700000000000002</v>
          </cell>
          <cell r="D87">
            <v>225.58823529411765</v>
          </cell>
        </row>
        <row r="88">
          <cell r="A88">
            <v>81</v>
          </cell>
          <cell r="B88" t="str">
            <v>MARÇO|01</v>
          </cell>
          <cell r="C88">
            <v>0.76700000000000002</v>
          </cell>
          <cell r="D88">
            <v>225.58823529411765</v>
          </cell>
        </row>
        <row r="89">
          <cell r="A89">
            <v>82</v>
          </cell>
          <cell r="B89" t="str">
            <v>ABRIL|01</v>
          </cell>
          <cell r="C89">
            <v>0.76700000000000002</v>
          </cell>
          <cell r="D89">
            <v>225.58823529411765</v>
          </cell>
        </row>
        <row r="90">
          <cell r="A90">
            <v>83</v>
          </cell>
          <cell r="B90" t="str">
            <v>MAIO|01</v>
          </cell>
          <cell r="C90">
            <v>0.76700000000000002</v>
          </cell>
          <cell r="D90">
            <v>225.58823529411765</v>
          </cell>
        </row>
        <row r="91">
          <cell r="A91">
            <v>84</v>
          </cell>
          <cell r="B91" t="str">
            <v>JUNHO|01</v>
          </cell>
          <cell r="C91">
            <v>0.76700000000000002</v>
          </cell>
          <cell r="D91">
            <v>225.58823529411765</v>
          </cell>
        </row>
        <row r="92">
          <cell r="A92">
            <v>85</v>
          </cell>
          <cell r="B92" t="str">
            <v>JULHO|01</v>
          </cell>
          <cell r="C92">
            <v>0.81799999999999995</v>
          </cell>
          <cell r="D92">
            <v>240.58823529411762</v>
          </cell>
        </row>
        <row r="93">
          <cell r="A93">
            <v>86</v>
          </cell>
          <cell r="B93" t="str">
            <v>AGOSTO|01</v>
          </cell>
          <cell r="C93">
            <v>0.81799999999999995</v>
          </cell>
          <cell r="D93">
            <v>240.58823529411762</v>
          </cell>
        </row>
        <row r="94">
          <cell r="A94">
            <v>87</v>
          </cell>
          <cell r="B94" t="str">
            <v>SETEMBRO|01</v>
          </cell>
          <cell r="C94">
            <v>0.84199999999999997</v>
          </cell>
          <cell r="D94">
            <v>247.64705882352939</v>
          </cell>
        </row>
        <row r="95">
          <cell r="A95">
            <v>88</v>
          </cell>
          <cell r="B95" t="str">
            <v>OUTUBRO|01</v>
          </cell>
          <cell r="C95">
            <v>0.88600000000000001</v>
          </cell>
          <cell r="D95">
            <v>260.58823529411762</v>
          </cell>
        </row>
        <row r="96">
          <cell r="A96">
            <v>89</v>
          </cell>
          <cell r="B96" t="str">
            <v>NOVEMBRO|01</v>
          </cell>
          <cell r="C96">
            <v>0.89449999999999996</v>
          </cell>
          <cell r="D96">
            <v>263.08823529411762</v>
          </cell>
        </row>
        <row r="97">
          <cell r="A97">
            <v>90</v>
          </cell>
          <cell r="B97" t="str">
            <v>DEZEMBRO|01</v>
          </cell>
          <cell r="C97">
            <v>0.90200000000000002</v>
          </cell>
          <cell r="D97">
            <v>265.29411764705884</v>
          </cell>
        </row>
        <row r="98">
          <cell r="A98">
            <v>91</v>
          </cell>
          <cell r="B98" t="str">
            <v>JANEIRO|02</v>
          </cell>
          <cell r="C98">
            <v>0.872</v>
          </cell>
          <cell r="D98">
            <v>256.47058823529409</v>
          </cell>
        </row>
        <row r="99">
          <cell r="A99">
            <v>92</v>
          </cell>
          <cell r="B99" t="str">
            <v>FEVEREIRO|02</v>
          </cell>
          <cell r="C99">
            <v>0.88639999999999997</v>
          </cell>
          <cell r="D99">
            <v>260.70588235294116</v>
          </cell>
        </row>
        <row r="100">
          <cell r="A100">
            <v>93</v>
          </cell>
          <cell r="B100" t="str">
            <v>MARÇO|02</v>
          </cell>
          <cell r="C100">
            <v>0.89839999999999998</v>
          </cell>
          <cell r="D100">
            <v>264.23529411764707</v>
          </cell>
        </row>
        <row r="101">
          <cell r="A101">
            <v>94</v>
          </cell>
          <cell r="B101" t="str">
            <v>ABRIL|02</v>
          </cell>
          <cell r="C101">
            <v>0.9698</v>
          </cell>
          <cell r="D101">
            <v>285.23529411764707</v>
          </cell>
        </row>
        <row r="102">
          <cell r="A102">
            <v>95</v>
          </cell>
          <cell r="B102" t="str">
            <v>MAIO|02</v>
          </cell>
          <cell r="C102">
            <v>0.99029999999999996</v>
          </cell>
          <cell r="D102">
            <v>291.26470588235293</v>
          </cell>
        </row>
        <row r="103">
          <cell r="A103">
            <v>96</v>
          </cell>
          <cell r="B103" t="str">
            <v>JUNHO|02</v>
          </cell>
          <cell r="C103">
            <v>0.98877000000000004</v>
          </cell>
          <cell r="D103">
            <v>290.81470588235294</v>
          </cell>
        </row>
        <row r="104">
          <cell r="A104">
            <v>97</v>
          </cell>
          <cell r="B104" t="str">
            <v>JULHO|02</v>
          </cell>
          <cell r="C104">
            <v>1.079</v>
          </cell>
          <cell r="D104">
            <v>317.35294117647055</v>
          </cell>
        </row>
        <row r="105">
          <cell r="A105">
            <v>98</v>
          </cell>
          <cell r="B105" t="str">
            <v>AGOSTO|02</v>
          </cell>
          <cell r="C105">
            <v>1.0714999999999999</v>
          </cell>
          <cell r="D105">
            <v>315.14705882352939</v>
          </cell>
        </row>
        <row r="106">
          <cell r="A106">
            <v>99</v>
          </cell>
          <cell r="B106" t="str">
            <v>SETEMBRO|02</v>
          </cell>
          <cell r="C106">
            <v>1.0720000000000001</v>
          </cell>
          <cell r="D106">
            <v>315.29411764705878</v>
          </cell>
        </row>
        <row r="107">
          <cell r="A107">
            <v>100</v>
          </cell>
          <cell r="B107" t="str">
            <v>OUTUBRO|02</v>
          </cell>
          <cell r="C107">
            <v>1.0740000000000001</v>
          </cell>
          <cell r="D107">
            <v>315.88235294117646</v>
          </cell>
        </row>
        <row r="108">
          <cell r="A108">
            <v>101</v>
          </cell>
          <cell r="B108" t="str">
            <v>NOVEMBRO|02</v>
          </cell>
          <cell r="C108">
            <v>1.2892999999999999</v>
          </cell>
          <cell r="D108">
            <v>379.2058823529411</v>
          </cell>
        </row>
        <row r="109">
          <cell r="A109">
            <v>102</v>
          </cell>
          <cell r="B109" t="str">
            <v>DEZEMBRO|02</v>
          </cell>
          <cell r="C109">
            <v>1.369</v>
          </cell>
          <cell r="D109">
            <v>402.64705882352939</v>
          </cell>
        </row>
        <row r="110">
          <cell r="A110">
            <v>103</v>
          </cell>
          <cell r="B110" t="str">
            <v>JANEIRO|03</v>
          </cell>
          <cell r="C110">
            <v>1.5109999999999999</v>
          </cell>
          <cell r="D110">
            <v>444.41176470588232</v>
          </cell>
        </row>
        <row r="111">
          <cell r="A111">
            <v>104</v>
          </cell>
          <cell r="B111" t="str">
            <v>FEVEREIRO|03</v>
          </cell>
          <cell r="C111">
            <v>1.5069999999999999</v>
          </cell>
          <cell r="D111">
            <v>443.23529411764702</v>
          </cell>
        </row>
        <row r="112">
          <cell r="A112">
            <v>105</v>
          </cell>
          <cell r="B112" t="str">
            <v>MARÇO|03</v>
          </cell>
          <cell r="C112">
            <v>1.5069999999999999</v>
          </cell>
          <cell r="D112">
            <v>443.23529411764702</v>
          </cell>
        </row>
        <row r="113">
          <cell r="A113">
            <v>106</v>
          </cell>
          <cell r="B113" t="str">
            <v>ABRIL|03</v>
          </cell>
          <cell r="C113">
            <v>1.5069999999999999</v>
          </cell>
          <cell r="D113">
            <v>443.23529411764702</v>
          </cell>
        </row>
        <row r="114">
          <cell r="A114">
            <v>107</v>
          </cell>
          <cell r="B114" t="str">
            <v>MAIO|03</v>
          </cell>
          <cell r="C114">
            <v>1.4216</v>
          </cell>
          <cell r="D114">
            <v>418.11764705882348</v>
          </cell>
        </row>
        <row r="115">
          <cell r="A115">
            <v>108</v>
          </cell>
          <cell r="B115" t="str">
            <v>JUNHO|03</v>
          </cell>
          <cell r="C115">
            <v>1.399</v>
          </cell>
          <cell r="D115">
            <v>411.47058823529409</v>
          </cell>
        </row>
        <row r="116">
          <cell r="A116">
            <v>109</v>
          </cell>
          <cell r="B116" t="str">
            <v>JULHO|03</v>
          </cell>
          <cell r="C116">
            <v>1.3841000000000001</v>
          </cell>
          <cell r="D116">
            <v>407.08823529411768</v>
          </cell>
        </row>
        <row r="117">
          <cell r="A117">
            <v>110</v>
          </cell>
          <cell r="B117" t="str">
            <v>AGOSTO|03</v>
          </cell>
          <cell r="C117">
            <v>1.3916999999999999</v>
          </cell>
          <cell r="D117">
            <v>409.32352941176464</v>
          </cell>
        </row>
        <row r="118">
          <cell r="A118">
            <v>111</v>
          </cell>
          <cell r="B118" t="str">
            <v>SETEMBRO|03</v>
          </cell>
          <cell r="C118">
            <v>1.3633</v>
          </cell>
          <cell r="D118">
            <v>400.97058823529403</v>
          </cell>
        </row>
        <row r="119">
          <cell r="A119">
            <v>112</v>
          </cell>
          <cell r="B119" t="str">
            <v>OUTUBRO|03</v>
          </cell>
          <cell r="C119">
            <v>1.3553999999999999</v>
          </cell>
          <cell r="D119">
            <v>398.64705882352933</v>
          </cell>
        </row>
        <row r="120">
          <cell r="A120">
            <v>113</v>
          </cell>
          <cell r="B120" t="str">
            <v>NOVEMBRO|03</v>
          </cell>
          <cell r="C120">
            <v>1.3560000000000001</v>
          </cell>
          <cell r="D120">
            <v>398.82352941176475</v>
          </cell>
        </row>
        <row r="121">
          <cell r="A121">
            <v>114</v>
          </cell>
          <cell r="B121" t="str">
            <v>DEZEMBRO|03</v>
          </cell>
          <cell r="C121">
            <v>1.3464</v>
          </cell>
          <cell r="D121">
            <v>396</v>
          </cell>
        </row>
        <row r="122">
          <cell r="A122">
            <v>115</v>
          </cell>
          <cell r="B122" t="str">
            <v>JANEIRO|04</v>
          </cell>
          <cell r="C122">
            <v>1.3319000000000001</v>
          </cell>
          <cell r="D122">
            <v>391.73529411764702</v>
          </cell>
        </row>
        <row r="123">
          <cell r="A123">
            <v>116</v>
          </cell>
          <cell r="B123" t="str">
            <v>FEVEREIRO|04</v>
          </cell>
          <cell r="C123">
            <v>1.3371999999999999</v>
          </cell>
          <cell r="D123">
            <v>393.29411764705878</v>
          </cell>
        </row>
        <row r="124">
          <cell r="A124">
            <v>117</v>
          </cell>
          <cell r="B124" t="str">
            <v>MARÇO|04</v>
          </cell>
          <cell r="C124">
            <v>1.3304</v>
          </cell>
          <cell r="D124">
            <v>391.29411764705878</v>
          </cell>
        </row>
        <row r="125">
          <cell r="A125">
            <v>118</v>
          </cell>
          <cell r="B125" t="str">
            <v>ABRIL|04</v>
          </cell>
          <cell r="C125">
            <v>1.3284</v>
          </cell>
          <cell r="D125">
            <v>390.70588235294116</v>
          </cell>
        </row>
        <row r="126">
          <cell r="A126">
            <v>119</v>
          </cell>
          <cell r="B126" t="str">
            <v>MAIO|04</v>
          </cell>
          <cell r="C126">
            <v>1.3229</v>
          </cell>
          <cell r="D126">
            <v>389.08823529411762</v>
          </cell>
        </row>
        <row r="127">
          <cell r="A127">
            <v>120</v>
          </cell>
          <cell r="B127" t="str">
            <v>JUNHO|04</v>
          </cell>
          <cell r="C127">
            <v>1.4466000000000001</v>
          </cell>
          <cell r="D127">
            <v>425.47058823529414</v>
          </cell>
        </row>
        <row r="128">
          <cell r="A128">
            <v>121</v>
          </cell>
          <cell r="B128" t="str">
            <v>JULHO|04</v>
          </cell>
          <cell r="C128">
            <v>1.4466000000000001</v>
          </cell>
          <cell r="D128">
            <v>425.47058823529414</v>
          </cell>
        </row>
        <row r="129">
          <cell r="A129">
            <v>122</v>
          </cell>
          <cell r="B129" t="str">
            <v>AGOSTO|04</v>
          </cell>
          <cell r="C129">
            <v>1.4475</v>
          </cell>
          <cell r="D129">
            <v>425.73529411764702</v>
          </cell>
        </row>
        <row r="130">
          <cell r="A130">
            <v>123</v>
          </cell>
          <cell r="B130" t="str">
            <v>SETEMBRO|04</v>
          </cell>
          <cell r="C130">
            <v>1.4407000000000001</v>
          </cell>
          <cell r="D130">
            <v>423.73529411764707</v>
          </cell>
        </row>
        <row r="131">
          <cell r="A131">
            <v>124</v>
          </cell>
          <cell r="B131" t="str">
            <v>OUTUBRO|04</v>
          </cell>
          <cell r="C131">
            <v>1.5230999999999999</v>
          </cell>
          <cell r="D131">
            <v>447.97058823529409</v>
          </cell>
        </row>
        <row r="132">
          <cell r="A132">
            <v>125</v>
          </cell>
          <cell r="B132" t="str">
            <v>NOVEMBRO|04</v>
          </cell>
          <cell r="C132">
            <v>1.5259</v>
          </cell>
          <cell r="D132">
            <v>448.79411764705878</v>
          </cell>
        </row>
        <row r="133">
          <cell r="A133">
            <v>126</v>
          </cell>
          <cell r="B133" t="str">
            <v>DEZEMBRO|04</v>
          </cell>
          <cell r="C133">
            <v>1.6366000000000001</v>
          </cell>
          <cell r="D133">
            <v>481.35294117647055</v>
          </cell>
        </row>
        <row r="134">
          <cell r="A134">
            <v>127</v>
          </cell>
          <cell r="B134" t="str">
            <v>JANEIRO|05</v>
          </cell>
          <cell r="C134">
            <v>1.6359999999999999</v>
          </cell>
          <cell r="D134">
            <v>481.17647058823525</v>
          </cell>
        </row>
        <row r="135">
          <cell r="A135">
            <v>128</v>
          </cell>
          <cell r="B135" t="str">
            <v>FEVEREIRO|05</v>
          </cell>
          <cell r="C135">
            <v>1.6398999999999999</v>
          </cell>
          <cell r="D135">
            <v>482.32352941176464</v>
          </cell>
        </row>
        <row r="136">
          <cell r="A136">
            <v>129</v>
          </cell>
          <cell r="B136" t="str">
            <v>MARÇO|05</v>
          </cell>
          <cell r="C136">
            <v>1.643</v>
          </cell>
          <cell r="D136">
            <v>483.23529411764707</v>
          </cell>
        </row>
        <row r="137">
          <cell r="A137">
            <v>130</v>
          </cell>
          <cell r="B137" t="str">
            <v>ABRIL|05</v>
          </cell>
          <cell r="C137">
            <v>1.6386000000000001</v>
          </cell>
          <cell r="D137">
            <v>481.94117647058823</v>
          </cell>
        </row>
        <row r="138">
          <cell r="A138">
            <v>131</v>
          </cell>
          <cell r="B138" t="str">
            <v>MAIO|05</v>
          </cell>
          <cell r="C138">
            <v>1.6569</v>
          </cell>
          <cell r="D138">
            <v>487.32352941176464</v>
          </cell>
        </row>
        <row r="139">
          <cell r="A139">
            <v>132</v>
          </cell>
          <cell r="B139" t="str">
            <v>JUNHO|05</v>
          </cell>
          <cell r="C139">
            <v>1.6478999999999999</v>
          </cell>
          <cell r="D139">
            <v>484.67647058823525</v>
          </cell>
        </row>
        <row r="140">
          <cell r="A140">
            <v>133</v>
          </cell>
          <cell r="B140" t="str">
            <v>JULHO|05</v>
          </cell>
          <cell r="C140">
            <v>1.653</v>
          </cell>
          <cell r="D140">
            <v>486.1764705882353</v>
          </cell>
        </row>
        <row r="141">
          <cell r="A141">
            <v>134</v>
          </cell>
          <cell r="B141" t="str">
            <v>AGOSTO|05</v>
          </cell>
          <cell r="C141">
            <v>1.6459999999999999</v>
          </cell>
          <cell r="D141">
            <v>484.11764705882348</v>
          </cell>
        </row>
        <row r="142">
          <cell r="A142">
            <v>135</v>
          </cell>
          <cell r="B142" t="str">
            <v>SETEMBRO|05</v>
          </cell>
          <cell r="C142">
            <v>1.8149</v>
          </cell>
          <cell r="D142">
            <v>533.79411764705878</v>
          </cell>
        </row>
        <row r="143">
          <cell r="A143">
            <v>136</v>
          </cell>
          <cell r="B143" t="str">
            <v>OUTUBRO|05</v>
          </cell>
          <cell r="C143">
            <v>1.84</v>
          </cell>
          <cell r="D143">
            <v>541.17647058823525</v>
          </cell>
        </row>
        <row r="144">
          <cell r="A144">
            <v>137</v>
          </cell>
          <cell r="B144" t="str">
            <v>NOVEMBRO|05</v>
          </cell>
          <cell r="C144">
            <v>1.83</v>
          </cell>
          <cell r="D144">
            <v>538.23529411764707</v>
          </cell>
        </row>
        <row r="145">
          <cell r="A145">
            <v>138</v>
          </cell>
          <cell r="B145" t="str">
            <v>DEZEMBRO|05</v>
          </cell>
          <cell r="C145">
            <v>1.8327500000000001</v>
          </cell>
          <cell r="D145">
            <v>539.04411764705878</v>
          </cell>
        </row>
        <row r="146">
          <cell r="A146">
            <v>139</v>
          </cell>
          <cell r="B146" t="str">
            <v>JANEIRO|06</v>
          </cell>
          <cell r="C146">
            <v>1.8360000000000001</v>
          </cell>
          <cell r="D146">
            <v>540</v>
          </cell>
        </row>
        <row r="147">
          <cell r="A147">
            <v>140</v>
          </cell>
          <cell r="B147" t="str">
            <v>FEVEREIRO|06</v>
          </cell>
          <cell r="C147">
            <v>1.837</v>
          </cell>
          <cell r="D147">
            <v>540.29411764705878</v>
          </cell>
        </row>
        <row r="148">
          <cell r="A148">
            <v>141</v>
          </cell>
          <cell r="B148" t="str">
            <v>MARÇO|06</v>
          </cell>
          <cell r="C148">
            <v>1.8240000000000001</v>
          </cell>
          <cell r="D148">
            <v>536.47058823529414</v>
          </cell>
        </row>
        <row r="149">
          <cell r="A149">
            <v>142</v>
          </cell>
          <cell r="B149" t="str">
            <v>ABRIL|06</v>
          </cell>
          <cell r="C149">
            <v>1.821</v>
          </cell>
          <cell r="D149">
            <v>535.58823529411757</v>
          </cell>
        </row>
        <row r="150">
          <cell r="A150">
            <v>143</v>
          </cell>
          <cell r="B150" t="str">
            <v>MAIO|06</v>
          </cell>
          <cell r="C150">
            <v>1.825</v>
          </cell>
          <cell r="D150">
            <v>536.76470588235293</v>
          </cell>
        </row>
        <row r="151">
          <cell r="A151">
            <v>144</v>
          </cell>
          <cell r="B151" t="str">
            <v>JUNHO|06</v>
          </cell>
          <cell r="C151">
            <v>1.788</v>
          </cell>
          <cell r="D151">
            <v>525.88235294117646</v>
          </cell>
        </row>
        <row r="152">
          <cell r="A152">
            <v>145</v>
          </cell>
          <cell r="B152" t="str">
            <v>JULHO|06</v>
          </cell>
          <cell r="C152">
            <v>1.8280000000000001</v>
          </cell>
          <cell r="D152">
            <v>537.64705882352939</v>
          </cell>
        </row>
        <row r="153">
          <cell r="A153">
            <v>146</v>
          </cell>
          <cell r="B153" t="str">
            <v>AGOSTO|06</v>
          </cell>
          <cell r="C153">
            <v>1.796</v>
          </cell>
          <cell r="D153">
            <v>528.23529411764696</v>
          </cell>
        </row>
        <row r="154">
          <cell r="A154">
            <v>147</v>
          </cell>
          <cell r="B154" t="str">
            <v>SETEMBRO|06</v>
          </cell>
          <cell r="C154">
            <v>1.8360000000000001</v>
          </cell>
          <cell r="D154">
            <v>540</v>
          </cell>
        </row>
        <row r="155">
          <cell r="A155">
            <v>148</v>
          </cell>
          <cell r="B155" t="str">
            <v>OUTUBRO|06</v>
          </cell>
          <cell r="C155">
            <v>1.8362000000000003</v>
          </cell>
          <cell r="D155">
            <v>540.05882352941182</v>
          </cell>
        </row>
        <row r="156">
          <cell r="A156">
            <v>149</v>
          </cell>
          <cell r="B156" t="str">
            <v>NOVEMBRO|06</v>
          </cell>
          <cell r="C156">
            <v>1.8080000000000001</v>
          </cell>
          <cell r="D156">
            <v>531.76470588235293</v>
          </cell>
        </row>
        <row r="157">
          <cell r="A157">
            <v>150</v>
          </cell>
          <cell r="B157" t="str">
            <v>DEZEMBRO|06</v>
          </cell>
          <cell r="C157">
            <v>1.8180000000000001</v>
          </cell>
          <cell r="D157">
            <v>534.70588235294122</v>
          </cell>
        </row>
        <row r="158">
          <cell r="A158">
            <v>151</v>
          </cell>
          <cell r="B158" t="str">
            <v>JANEIRO|07</v>
          </cell>
          <cell r="C158">
            <v>1.8240000000000001</v>
          </cell>
          <cell r="D158">
            <v>536.47058823529414</v>
          </cell>
        </row>
        <row r="159">
          <cell r="A159">
            <v>152</v>
          </cell>
          <cell r="B159" t="str">
            <v>FEVEREIRO|07</v>
          </cell>
          <cell r="C159">
            <v>1.8220000000000001</v>
          </cell>
          <cell r="D159">
            <v>535.88235294117646</v>
          </cell>
        </row>
        <row r="160">
          <cell r="A160">
            <v>153</v>
          </cell>
          <cell r="B160" t="str">
            <v>MARÇO|07</v>
          </cell>
          <cell r="C160">
            <v>1.8280000000000001</v>
          </cell>
          <cell r="D160">
            <v>537.64705882352939</v>
          </cell>
        </row>
        <row r="161">
          <cell r="A161">
            <v>154</v>
          </cell>
          <cell r="B161" t="str">
            <v>ABRIL|07</v>
          </cell>
          <cell r="C161">
            <v>1.8420000000000001</v>
          </cell>
          <cell r="D161">
            <v>541.76470588235293</v>
          </cell>
        </row>
        <row r="162">
          <cell r="A162">
            <v>155</v>
          </cell>
          <cell r="B162" t="str">
            <v>MAIO|07</v>
          </cell>
          <cell r="C162">
            <v>1.835</v>
          </cell>
          <cell r="D162">
            <v>539.7058823529411</v>
          </cell>
        </row>
        <row r="163">
          <cell r="A163">
            <v>156</v>
          </cell>
          <cell r="B163" t="str">
            <v>JUNHO|07</v>
          </cell>
          <cell r="C163">
            <v>1.8207100000000001</v>
          </cell>
          <cell r="D163">
            <v>535.50294117647059</v>
          </cell>
        </row>
        <row r="164">
          <cell r="A164">
            <v>157</v>
          </cell>
          <cell r="B164" t="str">
            <v>JULHO|07</v>
          </cell>
          <cell r="C164">
            <v>1.82213</v>
          </cell>
          <cell r="D164">
            <v>535.92058823529408</v>
          </cell>
        </row>
        <row r="165">
          <cell r="A165">
            <v>158</v>
          </cell>
          <cell r="B165" t="str">
            <v>AGOSTO|07</v>
          </cell>
          <cell r="C165">
            <v>1.81525</v>
          </cell>
          <cell r="D165">
            <v>533.89705882352939</v>
          </cell>
        </row>
        <row r="166">
          <cell r="A166">
            <v>159</v>
          </cell>
          <cell r="B166" t="str">
            <v>SETEMBRO|07</v>
          </cell>
          <cell r="C166">
            <v>1.8089999999999999</v>
          </cell>
          <cell r="D166">
            <v>532.05882352941171</v>
          </cell>
        </row>
        <row r="167">
          <cell r="A167">
            <v>160</v>
          </cell>
          <cell r="B167" t="str">
            <v>OUTUBRO|07</v>
          </cell>
          <cell r="C167">
            <v>1.8146249999999995</v>
          </cell>
          <cell r="D167">
            <v>533.71323529411745</v>
          </cell>
        </row>
        <row r="168">
          <cell r="A168">
            <v>161</v>
          </cell>
          <cell r="B168" t="str">
            <v>NOVEMBRO|07</v>
          </cell>
          <cell r="C168">
            <v>1.8214999999999997</v>
          </cell>
          <cell r="D168">
            <v>535.73529411764696</v>
          </cell>
        </row>
        <row r="169">
          <cell r="A169">
            <v>162</v>
          </cell>
          <cell r="B169" t="str">
            <v>DEZEMBRO|07</v>
          </cell>
          <cell r="C169">
            <v>1.8358750000000001</v>
          </cell>
          <cell r="D169">
            <v>539.96323529411768</v>
          </cell>
        </row>
        <row r="170">
          <cell r="A170">
            <v>163</v>
          </cell>
          <cell r="B170" t="str">
            <v>JANEIRO|08</v>
          </cell>
          <cell r="C170">
            <v>1.875</v>
          </cell>
          <cell r="D170">
            <v>551.47058823529403</v>
          </cell>
        </row>
        <row r="171">
          <cell r="A171">
            <v>164</v>
          </cell>
          <cell r="B171" t="str">
            <v>FEVEREIRO|08</v>
          </cell>
          <cell r="C171">
            <v>1.8759999999999999</v>
          </cell>
          <cell r="D171">
            <v>551.76470588235293</v>
          </cell>
        </row>
        <row r="172">
          <cell r="A172">
            <v>165</v>
          </cell>
          <cell r="B172" t="str">
            <v>MARÇO|08</v>
          </cell>
          <cell r="C172">
            <v>1.8769999999999996</v>
          </cell>
          <cell r="D172">
            <v>552.0588235294116</v>
          </cell>
        </row>
        <row r="173">
          <cell r="A173">
            <v>166</v>
          </cell>
          <cell r="B173" t="str">
            <v>ABRIL|08</v>
          </cell>
          <cell r="C173">
            <v>1.8779999999999999</v>
          </cell>
          <cell r="D173">
            <v>552.35294117647049</v>
          </cell>
        </row>
        <row r="174">
          <cell r="A174">
            <v>167</v>
          </cell>
          <cell r="B174" t="str">
            <v>MAIO|08</v>
          </cell>
          <cell r="C174">
            <v>2.0459999999999998</v>
          </cell>
          <cell r="D174">
            <v>601.76470588235293</v>
          </cell>
        </row>
        <row r="175">
          <cell r="A175">
            <v>168</v>
          </cell>
          <cell r="B175" t="str">
            <v>JUNHO|08</v>
          </cell>
          <cell r="C175">
            <v>2.052</v>
          </cell>
          <cell r="D175">
            <v>603.52941176470586</v>
          </cell>
        </row>
        <row r="176">
          <cell r="A176">
            <v>169</v>
          </cell>
          <cell r="B176" t="str">
            <v>JULHO|08</v>
          </cell>
          <cell r="C176">
            <v>2.1</v>
          </cell>
          <cell r="D176">
            <v>617.64705882352939</v>
          </cell>
        </row>
        <row r="177">
          <cell r="A177">
            <v>170</v>
          </cell>
          <cell r="B177" t="str">
            <v>AGOSTO|08</v>
          </cell>
          <cell r="C177">
            <v>2.1030000000000002</v>
          </cell>
          <cell r="D177">
            <v>618.52941176470586</v>
          </cell>
        </row>
        <row r="178">
          <cell r="A178">
            <v>171</v>
          </cell>
          <cell r="B178" t="str">
            <v>SETEMBRO|08</v>
          </cell>
          <cell r="C178">
            <v>2.105</v>
          </cell>
          <cell r="D178">
            <v>619.11764705882354</v>
          </cell>
        </row>
        <row r="179">
          <cell r="A179">
            <v>172</v>
          </cell>
          <cell r="B179" t="str">
            <v>OUTUBRO|08</v>
          </cell>
          <cell r="C179">
            <v>2.1059999999999999</v>
          </cell>
          <cell r="D179">
            <v>619.41176470588232</v>
          </cell>
        </row>
        <row r="180">
          <cell r="A180">
            <v>173</v>
          </cell>
          <cell r="B180" t="str">
            <v>NOVEMBRO|08</v>
          </cell>
          <cell r="C180">
            <v>2.1080000000000001</v>
          </cell>
          <cell r="D180">
            <v>620</v>
          </cell>
        </row>
        <row r="181">
          <cell r="A181">
            <v>174</v>
          </cell>
          <cell r="B181" t="str">
            <v>DEZEMBRO|08</v>
          </cell>
          <cell r="C181">
            <v>2.1080000000000001</v>
          </cell>
          <cell r="D181">
            <v>620</v>
          </cell>
        </row>
        <row r="182">
          <cell r="A182">
            <v>175</v>
          </cell>
          <cell r="B182" t="str">
            <v>JANEIRO|09</v>
          </cell>
          <cell r="C182">
            <v>2.1080000000000001</v>
          </cell>
          <cell r="D182">
            <v>620</v>
          </cell>
        </row>
        <row r="183">
          <cell r="A183">
            <v>176</v>
          </cell>
          <cell r="B183" t="str">
            <v>FEVEREIRO|09</v>
          </cell>
          <cell r="C183">
            <v>2.1080000000000001</v>
          </cell>
          <cell r="D183">
            <v>620</v>
          </cell>
        </row>
        <row r="184">
          <cell r="A184">
            <v>177</v>
          </cell>
          <cell r="B184" t="str">
            <v>MARÇO|09</v>
          </cell>
          <cell r="C184">
            <v>2.1070000000000002</v>
          </cell>
          <cell r="D184">
            <v>619.70588235294122</v>
          </cell>
        </row>
        <row r="185">
          <cell r="A185">
            <v>178</v>
          </cell>
          <cell r="B185" t="str">
            <v>ABRIL|09</v>
          </cell>
          <cell r="C185">
            <v>2.1070000000000002</v>
          </cell>
          <cell r="D185">
            <v>619.70588235294122</v>
          </cell>
        </row>
        <row r="186">
          <cell r="A186">
            <v>179</v>
          </cell>
          <cell r="B186" t="str">
            <v>MAIO|09</v>
          </cell>
          <cell r="C186">
            <v>2.1059999999999999</v>
          </cell>
          <cell r="D186">
            <v>619.41176470588232</v>
          </cell>
        </row>
        <row r="187">
          <cell r="A187">
            <v>180</v>
          </cell>
          <cell r="B187" t="str">
            <v>JUNHO|09</v>
          </cell>
          <cell r="C187">
            <v>2.0219999999999998</v>
          </cell>
          <cell r="D187">
            <v>594.7058823529411</v>
          </cell>
        </row>
        <row r="188">
          <cell r="A188">
            <v>181</v>
          </cell>
          <cell r="B188" t="str">
            <v>JULHO|09</v>
          </cell>
          <cell r="C188">
            <v>1.9970000000000001</v>
          </cell>
          <cell r="D188">
            <v>587.35294117647061</v>
          </cell>
        </row>
        <row r="189">
          <cell r="A189">
            <v>182</v>
          </cell>
          <cell r="B189" t="str">
            <v>AGOSTO|09</v>
          </cell>
          <cell r="C189">
            <v>1.9929999999999994</v>
          </cell>
          <cell r="D189">
            <v>586.17647058823513</v>
          </cell>
        </row>
        <row r="190">
          <cell r="A190">
            <v>183</v>
          </cell>
          <cell r="B190" t="str">
            <v>SETEMBRO|09</v>
          </cell>
          <cell r="C190">
            <v>1.9830000000000001</v>
          </cell>
          <cell r="D190">
            <v>583.23529411764707</v>
          </cell>
        </row>
        <row r="191">
          <cell r="A191">
            <v>184</v>
          </cell>
          <cell r="B191" t="str">
            <v>OUTUBRO|09</v>
          </cell>
          <cell r="C191">
            <v>1.974</v>
          </cell>
          <cell r="D191">
            <v>580.58823529411757</v>
          </cell>
        </row>
        <row r="192">
          <cell r="A192">
            <v>185</v>
          </cell>
          <cell r="B192" t="str">
            <v>NOVEMBRO|09</v>
          </cell>
          <cell r="C192">
            <v>1.9780000000000006</v>
          </cell>
          <cell r="D192">
            <v>581.76470588235316</v>
          </cell>
        </row>
        <row r="193">
          <cell r="A193">
            <v>186</v>
          </cell>
          <cell r="B193" t="str">
            <v>DEZEMBRO|09</v>
          </cell>
          <cell r="C193">
            <v>1.9790000000000001</v>
          </cell>
          <cell r="D193">
            <v>582.05882352941171</v>
          </cell>
        </row>
        <row r="194">
          <cell r="A194">
            <v>187</v>
          </cell>
          <cell r="B194" t="str">
            <v>JANEIRO|10</v>
          </cell>
          <cell r="C194">
            <v>1.986</v>
          </cell>
          <cell r="D194">
            <v>584.11764705882342</v>
          </cell>
        </row>
        <row r="195">
          <cell r="A195">
            <v>188</v>
          </cell>
          <cell r="B195" t="str">
            <v>FEVEREIRO|10</v>
          </cell>
          <cell r="C195">
            <v>1.9910000000000001</v>
          </cell>
          <cell r="D195">
            <v>585.58823529411768</v>
          </cell>
        </row>
        <row r="196">
          <cell r="A196">
            <v>189</v>
          </cell>
          <cell r="B196" t="str">
            <v>MARÇO|10</v>
          </cell>
          <cell r="C196">
            <v>1.9890000000000003</v>
          </cell>
          <cell r="D196">
            <v>585.00000000000011</v>
          </cell>
        </row>
        <row r="197">
          <cell r="A197">
            <v>190</v>
          </cell>
          <cell r="B197" t="str">
            <v>ABRIL|10</v>
          </cell>
          <cell r="C197">
            <v>1.988</v>
          </cell>
          <cell r="D197">
            <v>584.70588235294122</v>
          </cell>
        </row>
        <row r="198">
          <cell r="A198">
            <v>191</v>
          </cell>
          <cell r="B198" t="str">
            <v>MAIO|10</v>
          </cell>
          <cell r="C198">
            <v>1.9860000000000002</v>
          </cell>
          <cell r="D198">
            <v>584.11764705882354</v>
          </cell>
        </row>
        <row r="199">
          <cell r="A199">
            <v>192</v>
          </cell>
          <cell r="B199" t="str">
            <v>JUNHO|10</v>
          </cell>
          <cell r="C199">
            <v>1.9830000000000003</v>
          </cell>
          <cell r="D199">
            <v>583.23529411764719</v>
          </cell>
        </row>
        <row r="200">
          <cell r="A200">
            <v>193</v>
          </cell>
          <cell r="B200" t="str">
            <v>JULHO|10</v>
          </cell>
          <cell r="C200">
            <v>1.9830000000000001</v>
          </cell>
          <cell r="D200">
            <v>583.23529411764707</v>
          </cell>
        </row>
        <row r="201">
          <cell r="A201">
            <v>194</v>
          </cell>
          <cell r="B201" t="str">
            <v>AGOSTO|10</v>
          </cell>
          <cell r="C201">
            <v>1.982</v>
          </cell>
          <cell r="D201">
            <v>582.94117647058818</v>
          </cell>
        </row>
        <row r="202">
          <cell r="A202">
            <v>195</v>
          </cell>
          <cell r="B202" t="str">
            <v>SETEMBRO|10</v>
          </cell>
          <cell r="C202">
            <v>1.9810000000000001</v>
          </cell>
          <cell r="D202">
            <v>582.64705882352939</v>
          </cell>
        </row>
        <row r="203">
          <cell r="A203">
            <v>196</v>
          </cell>
          <cell r="B203" t="str">
            <v>OUTUBRO|10</v>
          </cell>
          <cell r="C203">
            <v>1.982</v>
          </cell>
          <cell r="D203">
            <v>582.94117647058818</v>
          </cell>
        </row>
        <row r="204">
          <cell r="A204">
            <v>197</v>
          </cell>
          <cell r="B204" t="str">
            <v>NOVEMBRO|10</v>
          </cell>
          <cell r="C204">
            <v>1.982</v>
          </cell>
          <cell r="D204">
            <v>582.94117647058818</v>
          </cell>
        </row>
        <row r="205">
          <cell r="A205">
            <v>198</v>
          </cell>
          <cell r="B205" t="str">
            <v>DEZEMBRO|10</v>
          </cell>
          <cell r="C205">
            <v>1.9830000000000001</v>
          </cell>
          <cell r="D205">
            <v>583.23529411764707</v>
          </cell>
        </row>
        <row r="206">
          <cell r="A206">
            <v>199</v>
          </cell>
          <cell r="B206" t="str">
            <v>JANEIRO|11</v>
          </cell>
          <cell r="C206">
            <v>1.9950000000000001</v>
          </cell>
          <cell r="D206">
            <v>586.76470588235293</v>
          </cell>
        </row>
        <row r="207">
          <cell r="A207">
            <v>200</v>
          </cell>
          <cell r="B207" t="str">
            <v>FEVEREIRO|11</v>
          </cell>
          <cell r="C207">
            <v>2</v>
          </cell>
          <cell r="D207">
            <v>588.23529411764707</v>
          </cell>
        </row>
        <row r="208">
          <cell r="A208">
            <v>201</v>
          </cell>
          <cell r="B208" t="str">
            <v>MARÇO|11</v>
          </cell>
          <cell r="C208">
            <v>2.008</v>
          </cell>
          <cell r="D208">
            <v>590.58823529411768</v>
          </cell>
        </row>
        <row r="209">
          <cell r="A209">
            <v>202</v>
          </cell>
          <cell r="B209" t="str">
            <v>ABRIL|11</v>
          </cell>
          <cell r="C209">
            <v>2.012</v>
          </cell>
          <cell r="D209">
            <v>591.76470588235281</v>
          </cell>
        </row>
        <row r="210">
          <cell r="A210">
            <v>203</v>
          </cell>
          <cell r="B210" t="str">
            <v>MAIO|11</v>
          </cell>
          <cell r="C210">
            <v>2.0099999999999998</v>
          </cell>
          <cell r="D210">
            <v>591.17647058823513</v>
          </cell>
        </row>
        <row r="211">
          <cell r="A211">
            <v>204</v>
          </cell>
          <cell r="B211" t="str">
            <v>JUNHO|11</v>
          </cell>
          <cell r="C211">
            <v>2.008</v>
          </cell>
          <cell r="D211">
            <v>590.58823529411768</v>
          </cell>
        </row>
        <row r="212">
          <cell r="A212">
            <v>205</v>
          </cell>
          <cell r="B212" t="str">
            <v>JULHO|11</v>
          </cell>
          <cell r="C212">
            <v>2.0089999999999999</v>
          </cell>
          <cell r="D212">
            <v>590.88235294117635</v>
          </cell>
        </row>
        <row r="213">
          <cell r="A213">
            <v>206</v>
          </cell>
          <cell r="B213" t="str">
            <v>AGOSTO|11</v>
          </cell>
          <cell r="C213">
            <v>2.0089999999999999</v>
          </cell>
          <cell r="D213">
            <v>590.88235294117635</v>
          </cell>
        </row>
        <row r="214">
          <cell r="A214">
            <v>207</v>
          </cell>
          <cell r="B214" t="str">
            <v>SETEMBRO|11</v>
          </cell>
          <cell r="C214">
            <v>2.0259999999999998</v>
          </cell>
          <cell r="D214">
            <v>595.88235294117635</v>
          </cell>
        </row>
        <row r="215">
          <cell r="A215">
            <v>208</v>
          </cell>
          <cell r="B215" t="str">
            <v>OUTUBRO|11</v>
          </cell>
          <cell r="C215">
            <v>2.0299999999999998</v>
          </cell>
          <cell r="D215">
            <v>597.0588235294116</v>
          </cell>
        </row>
        <row r="216">
          <cell r="A216">
            <v>209</v>
          </cell>
          <cell r="B216" t="str">
            <v>NOVEMBRO|11</v>
          </cell>
          <cell r="C216">
            <v>2.0310000000000001</v>
          </cell>
          <cell r="D216">
            <v>597.35294117647061</v>
          </cell>
        </row>
        <row r="217">
          <cell r="A217">
            <v>210</v>
          </cell>
          <cell r="B217" t="str">
            <v>DEZEMBRO|11</v>
          </cell>
          <cell r="C217">
            <v>2.0329999999999999</v>
          </cell>
          <cell r="D217">
            <v>597.94117647058818</v>
          </cell>
        </row>
        <row r="218">
          <cell r="A218">
            <v>211</v>
          </cell>
          <cell r="B218" t="str">
            <v>JANEIRO|12</v>
          </cell>
          <cell r="C218">
            <v>2.04</v>
          </cell>
          <cell r="D218">
            <v>600</v>
          </cell>
        </row>
        <row r="219">
          <cell r="A219">
            <v>212</v>
          </cell>
          <cell r="B219" t="str">
            <v>FEVEREIRO|12</v>
          </cell>
          <cell r="C219">
            <v>2.0409999999999999</v>
          </cell>
          <cell r="D219">
            <v>600.29411764705878</v>
          </cell>
        </row>
        <row r="220">
          <cell r="A220">
            <v>213</v>
          </cell>
          <cell r="B220" t="str">
            <v>MARÇO|12</v>
          </cell>
          <cell r="C220">
            <v>2.0430000000000001</v>
          </cell>
          <cell r="D220">
            <v>600.88235294117646</v>
          </cell>
        </row>
        <row r="221">
          <cell r="A221">
            <v>214</v>
          </cell>
          <cell r="B221" t="str">
            <v>ABRIL|12</v>
          </cell>
          <cell r="C221">
            <v>2.0459999999999998</v>
          </cell>
          <cell r="D221">
            <v>601.76470588235293</v>
          </cell>
        </row>
        <row r="222">
          <cell r="A222">
            <v>215</v>
          </cell>
          <cell r="B222" t="str">
            <v>MAIO|12</v>
          </cell>
          <cell r="C222">
            <v>2.0470000000000002</v>
          </cell>
          <cell r="D222">
            <v>602.05882352941182</v>
          </cell>
        </row>
        <row r="223">
          <cell r="A223">
            <v>216</v>
          </cell>
          <cell r="B223" t="str">
            <v>JUNHO|12</v>
          </cell>
          <cell r="C223">
            <v>2.0430000000000001</v>
          </cell>
          <cell r="D223">
            <v>600.88235294117646</v>
          </cell>
        </row>
        <row r="224">
          <cell r="A224">
            <v>217</v>
          </cell>
          <cell r="B224" t="str">
            <v>JULHO|12</v>
          </cell>
          <cell r="C224">
            <v>2.1039999999999996</v>
          </cell>
          <cell r="D224">
            <v>618.82352941176464</v>
          </cell>
        </row>
        <row r="225">
          <cell r="A225">
            <v>218</v>
          </cell>
          <cell r="B225" t="str">
            <v>AGOSTO|12</v>
          </cell>
          <cell r="C225">
            <v>2.1320000000000001</v>
          </cell>
          <cell r="D225">
            <v>627.05882352941182</v>
          </cell>
        </row>
        <row r="226">
          <cell r="A226">
            <v>219</v>
          </cell>
          <cell r="B226" t="str">
            <v>SETEMBRO|12</v>
          </cell>
          <cell r="C226">
            <v>2.1379999999999999</v>
          </cell>
          <cell r="D226">
            <v>628.82352941176464</v>
          </cell>
        </row>
        <row r="227">
          <cell r="A227">
            <v>220</v>
          </cell>
          <cell r="B227" t="str">
            <v>OUTUBRO|12</v>
          </cell>
          <cell r="C227">
            <v>2.1460000000000004</v>
          </cell>
          <cell r="D227">
            <v>631.17647058823536</v>
          </cell>
        </row>
        <row r="228">
          <cell r="A228">
            <v>221</v>
          </cell>
          <cell r="B228" t="str">
            <v>NOVEMBRO|12</v>
          </cell>
          <cell r="C228">
            <v>2.15</v>
          </cell>
          <cell r="D228">
            <v>632.35294117647049</v>
          </cell>
        </row>
        <row r="229">
          <cell r="A229">
            <v>222</v>
          </cell>
          <cell r="B229" t="str">
            <v>DEZEMBRO|12</v>
          </cell>
          <cell r="C229">
            <v>2.1520000000000006</v>
          </cell>
          <cell r="D229">
            <v>632.94117647058829</v>
          </cell>
        </row>
        <row r="230">
          <cell r="A230">
            <v>223</v>
          </cell>
          <cell r="B230" t="str">
            <v>JANEIRO|13</v>
          </cell>
          <cell r="C230">
            <v>2.1640000000000001</v>
          </cell>
          <cell r="D230">
            <v>636.47058823529414</v>
          </cell>
        </row>
        <row r="231">
          <cell r="A231">
            <v>224</v>
          </cell>
          <cell r="B231" t="str">
            <v>FEVEREIRO|13</v>
          </cell>
          <cell r="C231">
            <v>2.2549999999999994</v>
          </cell>
          <cell r="D231">
            <v>663.23529411764684</v>
          </cell>
        </row>
        <row r="232">
          <cell r="A232">
            <v>225</v>
          </cell>
          <cell r="B232" t="str">
            <v>MARÇO|13</v>
          </cell>
          <cell r="C232">
            <v>2.3210000000000002</v>
          </cell>
          <cell r="D232">
            <v>682.64705882352939</v>
          </cell>
        </row>
        <row r="233">
          <cell r="A233">
            <v>226</v>
          </cell>
          <cell r="B233" t="str">
            <v>ABRIL|13</v>
          </cell>
          <cell r="C233">
            <v>2.3340000000000001</v>
          </cell>
          <cell r="D233">
            <v>686.47058823529403</v>
          </cell>
        </row>
        <row r="234">
          <cell r="A234">
            <v>227</v>
          </cell>
          <cell r="B234" t="str">
            <v>MAIO|13</v>
          </cell>
          <cell r="C234">
            <v>2.3340000000000001</v>
          </cell>
          <cell r="D234">
            <v>686.47058823529403</v>
          </cell>
        </row>
        <row r="235">
          <cell r="A235">
            <v>228</v>
          </cell>
          <cell r="B235" t="str">
            <v>JUNHO|13</v>
          </cell>
          <cell r="C235">
            <v>2.3340000000000001</v>
          </cell>
          <cell r="D235">
            <v>686.47058823529403</v>
          </cell>
        </row>
        <row r="236">
          <cell r="A236">
            <v>229</v>
          </cell>
          <cell r="B236" t="str">
            <v>JULHO|13</v>
          </cell>
          <cell r="C236">
            <v>2.3330000000000006</v>
          </cell>
          <cell r="D236">
            <v>686.17647058823547</v>
          </cell>
        </row>
        <row r="237">
          <cell r="A237">
            <v>230</v>
          </cell>
          <cell r="B237" t="str">
            <v>AGOSTO|13</v>
          </cell>
          <cell r="C237">
            <v>2.331</v>
          </cell>
          <cell r="D237">
            <v>685.58823529411757</v>
          </cell>
        </row>
        <row r="238">
          <cell r="A238">
            <v>231</v>
          </cell>
          <cell r="B238" t="str">
            <v>SETEMBRO|13</v>
          </cell>
          <cell r="C238">
            <v>2.3300000000000005</v>
          </cell>
          <cell r="D238">
            <v>685.2941176470589</v>
          </cell>
        </row>
        <row r="239">
          <cell r="A239">
            <v>232</v>
          </cell>
          <cell r="B239" t="str">
            <v>OUTUBRO|13</v>
          </cell>
          <cell r="C239">
            <v>2.3330000000000006</v>
          </cell>
          <cell r="D239">
            <v>686.17647058823547</v>
          </cell>
        </row>
        <row r="240">
          <cell r="A240">
            <v>233</v>
          </cell>
          <cell r="B240" t="str">
            <v>NOVEMBRO|13</v>
          </cell>
          <cell r="C240">
            <v>2.3320000000000003</v>
          </cell>
          <cell r="D240">
            <v>685.88235294117646</v>
          </cell>
        </row>
        <row r="241">
          <cell r="A241">
            <v>234</v>
          </cell>
          <cell r="B241" t="str">
            <v>DEZEMBRO|13</v>
          </cell>
          <cell r="C241">
            <v>2.4750000000000001</v>
          </cell>
          <cell r="D241">
            <v>727.94117647058818</v>
          </cell>
        </row>
        <row r="242">
          <cell r="A242">
            <v>235</v>
          </cell>
          <cell r="B242" t="str">
            <v>JANEIRO|14</v>
          </cell>
          <cell r="C242">
            <v>2.4869999999999997</v>
          </cell>
          <cell r="D242">
            <v>731.47058823529392</v>
          </cell>
        </row>
        <row r="243">
          <cell r="A243">
            <v>236</v>
          </cell>
          <cell r="B243" t="str">
            <v>FEVEREIRO|14</v>
          </cell>
          <cell r="C243">
            <v>2.4929999999999999</v>
          </cell>
          <cell r="D243">
            <v>733.23529411764696</v>
          </cell>
        </row>
        <row r="244">
          <cell r="A244">
            <v>237</v>
          </cell>
          <cell r="B244" t="str">
            <v>MARÇO|14</v>
          </cell>
          <cell r="C244">
            <v>2.4990000000000001</v>
          </cell>
          <cell r="D244">
            <v>735</v>
          </cell>
        </row>
        <row r="245">
          <cell r="A245">
            <v>238</v>
          </cell>
          <cell r="B245" t="str">
            <v>ABRIL|14</v>
          </cell>
          <cell r="C245">
            <v>2.5009999999999999</v>
          </cell>
          <cell r="D245">
            <v>735.58823529411757</v>
          </cell>
        </row>
        <row r="246">
          <cell r="A246">
            <v>239</v>
          </cell>
          <cell r="B246" t="str">
            <v>MAIO|14</v>
          </cell>
          <cell r="C246">
            <v>2.5</v>
          </cell>
          <cell r="D246">
            <v>735.29411764705878</v>
          </cell>
        </row>
        <row r="247">
          <cell r="A247">
            <v>240</v>
          </cell>
          <cell r="B247" t="str">
            <v>JUNHO|14</v>
          </cell>
          <cell r="C247">
            <v>2.5</v>
          </cell>
          <cell r="D247">
            <v>735.29411764705878</v>
          </cell>
        </row>
        <row r="248">
          <cell r="A248">
            <v>241</v>
          </cell>
          <cell r="B248" t="str">
            <v>JULHO|14</v>
          </cell>
          <cell r="C248">
            <v>2.4990000000000001</v>
          </cell>
          <cell r="D248">
            <v>735</v>
          </cell>
        </row>
        <row r="249">
          <cell r="A249">
            <v>242</v>
          </cell>
          <cell r="B249" t="str">
            <v>AGOSTO|14</v>
          </cell>
          <cell r="C249">
            <v>2.4990000000000001</v>
          </cell>
          <cell r="D249">
            <v>735</v>
          </cell>
        </row>
        <row r="250">
          <cell r="A250">
            <v>243</v>
          </cell>
          <cell r="B250" t="str">
            <v>SETEMBRO|14</v>
          </cell>
          <cell r="C250">
            <v>2.5009999999999999</v>
          </cell>
          <cell r="D250">
            <v>735.58823529411757</v>
          </cell>
        </row>
        <row r="251">
          <cell r="A251">
            <v>244</v>
          </cell>
          <cell r="B251" t="str">
            <v>OUTUBRO|14</v>
          </cell>
          <cell r="C251">
            <v>2.5</v>
          </cell>
          <cell r="D251">
            <v>735.29411764705878</v>
          </cell>
        </row>
        <row r="252">
          <cell r="A252">
            <v>245</v>
          </cell>
          <cell r="B252" t="str">
            <v>NOVEMBRO|14</v>
          </cell>
          <cell r="C252">
            <v>2.6</v>
          </cell>
          <cell r="D252">
            <v>764.7058823529411</v>
          </cell>
        </row>
        <row r="253">
          <cell r="A253">
            <v>246</v>
          </cell>
          <cell r="B253" t="str">
            <v>DEZEMBRO|14</v>
          </cell>
          <cell r="C253">
            <v>2.6069999999999998</v>
          </cell>
          <cell r="D253">
            <v>766.76470588235281</v>
          </cell>
        </row>
        <row r="254">
          <cell r="A254">
            <v>247</v>
          </cell>
          <cell r="B254" t="str">
            <v>JANEIRO|15</v>
          </cell>
          <cell r="C254">
            <v>2.613</v>
          </cell>
          <cell r="D254">
            <v>768.52941176470586</v>
          </cell>
        </row>
        <row r="255">
          <cell r="A255">
            <v>248</v>
          </cell>
          <cell r="B255" t="str">
            <v>FEVEREIRO|15</v>
          </cell>
          <cell r="C255">
            <v>2.8079999999999998</v>
          </cell>
          <cell r="D255">
            <v>825.88235294117624</v>
          </cell>
        </row>
        <row r="256">
          <cell r="A256">
            <v>249</v>
          </cell>
          <cell r="B256" t="str">
            <v>MARÇO|15</v>
          </cell>
          <cell r="C256">
            <v>2.8099999999999996</v>
          </cell>
          <cell r="D256">
            <v>826.47058823529392</v>
          </cell>
        </row>
        <row r="257">
          <cell r="A257">
            <v>250</v>
          </cell>
          <cell r="B257" t="str">
            <v>ABRIL|15</v>
          </cell>
          <cell r="C257">
            <v>2.8090000000000006</v>
          </cell>
          <cell r="D257">
            <v>826.17647058823536</v>
          </cell>
        </row>
        <row r="258">
          <cell r="A258">
            <v>251</v>
          </cell>
          <cell r="B258" t="str">
            <v>MAIO|15</v>
          </cell>
          <cell r="C258">
            <v>2.8069999999999995</v>
          </cell>
          <cell r="D258">
            <v>825.58823529411734</v>
          </cell>
        </row>
        <row r="259">
          <cell r="A259">
            <v>252</v>
          </cell>
          <cell r="B259" t="str">
            <v>JUNHO|15</v>
          </cell>
          <cell r="C259">
            <v>2.8069999999999995</v>
          </cell>
          <cell r="D259">
            <v>825.58823529411734</v>
          </cell>
        </row>
        <row r="260">
          <cell r="A260">
            <v>253</v>
          </cell>
          <cell r="B260" t="str">
            <v>JULHO|15</v>
          </cell>
          <cell r="C260">
            <v>2.8050000000000002</v>
          </cell>
          <cell r="D260">
            <v>824.99999999999989</v>
          </cell>
        </row>
        <row r="261">
          <cell r="A261">
            <v>254</v>
          </cell>
          <cell r="B261" t="str">
            <v>AGOSTO|15</v>
          </cell>
          <cell r="C261">
            <v>2.7989999999999999</v>
          </cell>
          <cell r="D261">
            <v>823.23529411764696</v>
          </cell>
        </row>
        <row r="262">
          <cell r="A262">
            <v>255</v>
          </cell>
          <cell r="B262" t="str">
            <v>SETEMBRO|15</v>
          </cell>
          <cell r="C262">
            <v>2.8129999999999997</v>
          </cell>
          <cell r="D262">
            <v>827.35294117647038</v>
          </cell>
        </row>
        <row r="263">
          <cell r="A263">
            <v>256</v>
          </cell>
          <cell r="B263" t="str">
            <v>OUTUBRO|15</v>
          </cell>
          <cell r="C263">
            <v>2.93</v>
          </cell>
          <cell r="D263">
            <v>861.76470588235293</v>
          </cell>
        </row>
        <row r="264">
          <cell r="A264">
            <v>257</v>
          </cell>
          <cell r="B264" t="str">
            <v>NOVEMBRO|15</v>
          </cell>
          <cell r="C264">
            <v>2.9769999999999999</v>
          </cell>
          <cell r="D264">
            <v>875.58823529411757</v>
          </cell>
        </row>
        <row r="265">
          <cell r="A265">
            <v>258</v>
          </cell>
          <cell r="B265" t="str">
            <v>DEZEMBRO|15</v>
          </cell>
          <cell r="C265">
            <v>2.9860000000000002</v>
          </cell>
          <cell r="D265">
            <v>878.23529411764707</v>
          </cell>
        </row>
        <row r="266">
          <cell r="A266">
            <v>259</v>
          </cell>
          <cell r="B266" t="str">
            <v>JANEIRO|16</v>
          </cell>
          <cell r="C266">
            <v>3.0100000000000002</v>
          </cell>
          <cell r="D266">
            <v>885.29411764705878</v>
          </cell>
        </row>
        <row r="267">
          <cell r="A267">
            <v>260</v>
          </cell>
          <cell r="B267" t="str">
            <v>FEVEREIRO|16</v>
          </cell>
          <cell r="C267">
            <v>3.02</v>
          </cell>
          <cell r="D267">
            <v>888.23529411764696</v>
          </cell>
        </row>
        <row r="268">
          <cell r="A268">
            <v>261</v>
          </cell>
          <cell r="B268" t="str">
            <v>MARÇO|16</v>
          </cell>
          <cell r="C268">
            <v>3.0210000000000004</v>
          </cell>
          <cell r="D268">
            <v>888.52941176470586</v>
          </cell>
        </row>
        <row r="269">
          <cell r="A269">
            <v>262</v>
          </cell>
          <cell r="B269" t="str">
            <v>ABRIL|16</v>
          </cell>
          <cell r="C269">
            <v>3.0210000000000004</v>
          </cell>
          <cell r="D269">
            <v>888.52941176470586</v>
          </cell>
        </row>
        <row r="270">
          <cell r="A270">
            <v>263</v>
          </cell>
          <cell r="B270" t="str">
            <v>MAIO|16</v>
          </cell>
          <cell r="C270">
            <v>3.0150000000000001</v>
          </cell>
          <cell r="D270">
            <v>886.76470588235293</v>
          </cell>
        </row>
        <row r="271">
          <cell r="A271">
            <v>264</v>
          </cell>
          <cell r="B271" t="str">
            <v>JUNHO|16</v>
          </cell>
          <cell r="C271">
            <v>3.0130000000000003</v>
          </cell>
          <cell r="D271">
            <v>886.17647058823525</v>
          </cell>
        </row>
        <row r="272">
          <cell r="A272">
            <v>265</v>
          </cell>
          <cell r="B272" t="str">
            <v>JULHO|16</v>
          </cell>
          <cell r="C272">
            <v>3.0100000000000002</v>
          </cell>
          <cell r="D272">
            <v>885.29411764705878</v>
          </cell>
        </row>
        <row r="273">
          <cell r="A273">
            <v>266</v>
          </cell>
          <cell r="B273" t="str">
            <v>AGOSTO|16</v>
          </cell>
          <cell r="C273">
            <v>3.0070000000000006</v>
          </cell>
          <cell r="D273">
            <v>884.41176470588243</v>
          </cell>
        </row>
        <row r="274">
          <cell r="A274">
            <v>267</v>
          </cell>
          <cell r="B274" t="str">
            <v>SETEMBRO|16</v>
          </cell>
          <cell r="C274">
            <v>3.0059999999999998</v>
          </cell>
          <cell r="D274">
            <v>884.11764705882342</v>
          </cell>
        </row>
        <row r="275">
          <cell r="A275">
            <v>268</v>
          </cell>
          <cell r="B275" t="str">
            <v>OUTUBRO|16</v>
          </cell>
          <cell r="C275">
            <v>3.0079999999999996</v>
          </cell>
          <cell r="D275">
            <v>884.70588235294099</v>
          </cell>
        </row>
        <row r="276">
          <cell r="A276">
            <v>269</v>
          </cell>
          <cell r="B276" t="str">
            <v>NOVEMBRO|16</v>
          </cell>
          <cell r="C276">
            <v>2.9839999999999995</v>
          </cell>
          <cell r="D276">
            <v>877.64705882352928</v>
          </cell>
        </row>
        <row r="277">
          <cell r="A277">
            <v>270</v>
          </cell>
          <cell r="B277" t="str">
            <v>DEZEMBRO|16</v>
          </cell>
          <cell r="C277">
            <v>3.0509999999999997</v>
          </cell>
          <cell r="D277">
            <v>897.35294117647038</v>
          </cell>
        </row>
        <row r="278">
          <cell r="A278">
            <v>271</v>
          </cell>
          <cell r="B278" t="str">
            <v>JANEIRO|17</v>
          </cell>
          <cell r="C278">
            <v>3.1209999999999996</v>
          </cell>
          <cell r="D278">
            <v>917.94117647058806</v>
          </cell>
        </row>
        <row r="279">
          <cell r="A279">
            <v>272</v>
          </cell>
          <cell r="B279" t="str">
            <v>FEVEREIRO|17</v>
          </cell>
          <cell r="C279">
            <v>3.0970000000000004</v>
          </cell>
          <cell r="D279">
            <v>910.88235294117658</v>
          </cell>
        </row>
        <row r="280">
          <cell r="A280">
            <v>273</v>
          </cell>
          <cell r="B280" t="str">
            <v>MARÇO|17</v>
          </cell>
          <cell r="C280">
            <v>3.0419999999999994</v>
          </cell>
          <cell r="D280">
            <v>894.70588235294088</v>
          </cell>
        </row>
        <row r="281">
          <cell r="A281">
            <v>274</v>
          </cell>
          <cell r="B281" t="str">
            <v>ABRIL|17</v>
          </cell>
          <cell r="C281">
            <v>3.012</v>
          </cell>
          <cell r="D281">
            <v>885.88235294117635</v>
          </cell>
        </row>
        <row r="282">
          <cell r="A282">
            <v>275</v>
          </cell>
          <cell r="B282" t="str">
            <v>MAIO|17</v>
          </cell>
          <cell r="C282">
            <v>3.0190000000000006</v>
          </cell>
          <cell r="D282">
            <v>887.94117647058829</v>
          </cell>
        </row>
        <row r="283">
          <cell r="A283">
            <v>276</v>
          </cell>
          <cell r="B283" t="str">
            <v>JUNHO|17</v>
          </cell>
          <cell r="C283">
            <v>2.9580000000000006</v>
          </cell>
          <cell r="D283">
            <v>870.00000000000011</v>
          </cell>
        </row>
        <row r="284">
          <cell r="A284">
            <v>277</v>
          </cell>
          <cell r="B284" t="str">
            <v>JULHO|17</v>
          </cell>
          <cell r="C284">
            <v>3.0560000000000005</v>
          </cell>
          <cell r="D284">
            <v>898.82352941176475</v>
          </cell>
        </row>
        <row r="285">
          <cell r="A285">
            <v>278</v>
          </cell>
          <cell r="B285" t="str">
            <v>AGOSTO|17</v>
          </cell>
          <cell r="C285">
            <v>3.1030000000000006</v>
          </cell>
          <cell r="D285">
            <v>912.64705882352951</v>
          </cell>
        </row>
        <row r="286">
          <cell r="A286">
            <v>279</v>
          </cell>
          <cell r="B286" t="str">
            <v>SETEMBRO|17</v>
          </cell>
          <cell r="C286">
            <v>3.2010000000000001</v>
          </cell>
          <cell r="D286">
            <v>941.47058823529414</v>
          </cell>
        </row>
        <row r="287">
          <cell r="A287">
            <v>280</v>
          </cell>
          <cell r="B287" t="str">
            <v>OUTUBRO|17</v>
          </cell>
          <cell r="C287">
            <v>3.2139999999999995</v>
          </cell>
          <cell r="D287">
            <v>945.29411764705867</v>
          </cell>
        </row>
        <row r="288">
          <cell r="A288">
            <v>281</v>
          </cell>
          <cell r="B288" t="str">
            <v>NOVEMBRO|17</v>
          </cell>
          <cell r="C288">
            <v>3.3030000000000004</v>
          </cell>
          <cell r="D288">
            <v>971.47058823529403</v>
          </cell>
        </row>
        <row r="289">
          <cell r="A289">
            <v>282</v>
          </cell>
          <cell r="B289" t="str">
            <v>DEZEMBRO|17</v>
          </cell>
          <cell r="C289">
            <v>3.3260000000000001</v>
          </cell>
          <cell r="D289">
            <v>978.23529411764707</v>
          </cell>
        </row>
        <row r="290">
          <cell r="A290">
            <v>283</v>
          </cell>
          <cell r="B290" t="str">
            <v>JANEIRO|18</v>
          </cell>
          <cell r="C290">
            <v>3.3809999999999998</v>
          </cell>
          <cell r="D290">
            <v>994.41176470588221</v>
          </cell>
        </row>
        <row r="291">
          <cell r="A291">
            <v>284</v>
          </cell>
          <cell r="B291" t="str">
            <v>FEVEREIRO|18</v>
          </cell>
          <cell r="C291">
            <v>3.3829999999999996</v>
          </cell>
          <cell r="D291">
            <v>994.99999999999977</v>
          </cell>
        </row>
        <row r="292">
          <cell r="A292">
            <v>285</v>
          </cell>
          <cell r="B292" t="str">
            <v>MARÇO|18</v>
          </cell>
          <cell r="C292">
            <v>3.3909999999999991</v>
          </cell>
          <cell r="D292">
            <v>997.35294117647027</v>
          </cell>
        </row>
        <row r="293">
          <cell r="B293" t="str">
            <v>Fonte: Departamento de Custos Operacionais e Pesquisas Econômicas - DECOPE/NTC&amp;Logística *</v>
          </cell>
          <cell r="C293"/>
          <cell r="D293"/>
        </row>
        <row r="294">
          <cell r="C294"/>
          <cell r="D294"/>
        </row>
        <row r="295">
          <cell r="C295"/>
          <cell r="D295"/>
        </row>
        <row r="296">
          <cell r="C296"/>
          <cell r="D296"/>
        </row>
        <row r="297">
          <cell r="C297"/>
          <cell r="D297"/>
        </row>
        <row r="298">
          <cell r="C298"/>
          <cell r="D298"/>
        </row>
        <row r="299">
          <cell r="C299"/>
          <cell r="D299"/>
        </row>
        <row r="300">
          <cell r="C300"/>
          <cell r="D300"/>
        </row>
        <row r="301">
          <cell r="C301"/>
          <cell r="D301"/>
        </row>
        <row r="302">
          <cell r="C302"/>
          <cell r="D302"/>
        </row>
        <row r="303">
          <cell r="C303"/>
          <cell r="D303"/>
        </row>
        <row r="304">
          <cell r="C304"/>
          <cell r="D304"/>
        </row>
        <row r="305">
          <cell r="C305"/>
          <cell r="D305"/>
        </row>
        <row r="306">
          <cell r="C306"/>
          <cell r="D306"/>
        </row>
        <row r="307">
          <cell r="C307"/>
          <cell r="D307"/>
        </row>
        <row r="308">
          <cell r="C308"/>
          <cell r="D308"/>
        </row>
        <row r="309">
          <cell r="C309"/>
          <cell r="D309"/>
        </row>
        <row r="310">
          <cell r="C310"/>
          <cell r="D310"/>
        </row>
        <row r="311">
          <cell r="C311"/>
          <cell r="D311"/>
        </row>
        <row r="312">
          <cell r="C312"/>
          <cell r="D312"/>
        </row>
        <row r="313">
          <cell r="C313"/>
          <cell r="D313"/>
        </row>
        <row r="314">
          <cell r="C314"/>
          <cell r="D314"/>
        </row>
        <row r="315">
          <cell r="C315"/>
          <cell r="D315"/>
        </row>
        <row r="316">
          <cell r="C316"/>
          <cell r="D316"/>
        </row>
        <row r="317">
          <cell r="C317"/>
          <cell r="D317"/>
        </row>
        <row r="318">
          <cell r="C318"/>
          <cell r="D318"/>
        </row>
        <row r="319">
          <cell r="C319"/>
          <cell r="D319"/>
        </row>
        <row r="320">
          <cell r="C320"/>
          <cell r="D320"/>
        </row>
        <row r="321">
          <cell r="C321"/>
          <cell r="D321"/>
        </row>
        <row r="322">
          <cell r="C322"/>
          <cell r="D322"/>
        </row>
        <row r="323">
          <cell r="C323"/>
          <cell r="D323"/>
        </row>
        <row r="324">
          <cell r="C324"/>
          <cell r="D324"/>
        </row>
        <row r="325">
          <cell r="C325"/>
          <cell r="D325"/>
        </row>
        <row r="326">
          <cell r="C326"/>
          <cell r="D326"/>
        </row>
        <row r="327">
          <cell r="C327"/>
          <cell r="D327"/>
        </row>
        <row r="328">
          <cell r="C328"/>
          <cell r="D328"/>
        </row>
        <row r="329">
          <cell r="C329"/>
          <cell r="D329"/>
        </row>
        <row r="330">
          <cell r="C330"/>
          <cell r="D330"/>
        </row>
        <row r="331">
          <cell r="C331"/>
          <cell r="D331"/>
        </row>
        <row r="332">
          <cell r="C332"/>
          <cell r="D332"/>
        </row>
        <row r="333">
          <cell r="C333"/>
          <cell r="D333"/>
        </row>
        <row r="334">
          <cell r="C334"/>
          <cell r="D334"/>
        </row>
        <row r="335">
          <cell r="C335"/>
          <cell r="D335"/>
        </row>
        <row r="336">
          <cell r="C336"/>
          <cell r="D336"/>
        </row>
        <row r="337">
          <cell r="C337"/>
          <cell r="D337"/>
        </row>
        <row r="338">
          <cell r="C338"/>
          <cell r="D338"/>
        </row>
        <row r="339">
          <cell r="C339"/>
          <cell r="D339"/>
        </row>
        <row r="340">
          <cell r="C340"/>
          <cell r="D340"/>
        </row>
        <row r="341">
          <cell r="C341"/>
          <cell r="D341"/>
        </row>
        <row r="342">
          <cell r="C342"/>
          <cell r="D342"/>
        </row>
        <row r="343">
          <cell r="C343"/>
          <cell r="D343"/>
        </row>
        <row r="344">
          <cell r="C344"/>
          <cell r="D344"/>
        </row>
        <row r="345">
          <cell r="C345"/>
          <cell r="D345"/>
        </row>
        <row r="346">
          <cell r="C346"/>
          <cell r="D346"/>
        </row>
        <row r="347">
          <cell r="C347"/>
          <cell r="D347"/>
        </row>
        <row r="348">
          <cell r="C348"/>
          <cell r="D348"/>
        </row>
        <row r="349">
          <cell r="C349"/>
          <cell r="D349"/>
        </row>
        <row r="350">
          <cell r="C350"/>
          <cell r="D350"/>
        </row>
        <row r="351">
          <cell r="C351"/>
          <cell r="D351"/>
        </row>
        <row r="352">
          <cell r="C352"/>
          <cell r="D352"/>
        </row>
        <row r="353">
          <cell r="C353"/>
          <cell r="D353"/>
        </row>
        <row r="354">
          <cell r="C354"/>
          <cell r="D354"/>
        </row>
        <row r="355">
          <cell r="C355"/>
          <cell r="D355"/>
        </row>
        <row r="356">
          <cell r="C356"/>
          <cell r="D356"/>
        </row>
        <row r="357">
          <cell r="C357"/>
          <cell r="D357"/>
        </row>
        <row r="358">
          <cell r="C358"/>
          <cell r="D358"/>
        </row>
        <row r="359">
          <cell r="C359"/>
          <cell r="D359"/>
        </row>
        <row r="360">
          <cell r="C360"/>
          <cell r="D360"/>
        </row>
        <row r="361">
          <cell r="C361"/>
          <cell r="D361"/>
        </row>
        <row r="362">
          <cell r="C362"/>
          <cell r="D362"/>
        </row>
        <row r="363">
          <cell r="C363"/>
          <cell r="D363"/>
        </row>
        <row r="364">
          <cell r="C364"/>
          <cell r="D364"/>
        </row>
        <row r="365">
          <cell r="C365"/>
          <cell r="D365"/>
        </row>
        <row r="366">
          <cell r="C366"/>
          <cell r="D366"/>
        </row>
        <row r="367">
          <cell r="C367"/>
          <cell r="D367"/>
        </row>
        <row r="368">
          <cell r="C368"/>
          <cell r="D368"/>
        </row>
        <row r="369">
          <cell r="B369" t="str">
            <v>Período</v>
          </cell>
          <cell r="C369" t="str">
            <v xml:space="preserve">R$/Litro </v>
          </cell>
          <cell r="D369" t="str">
            <v>VAR. (%)</v>
          </cell>
        </row>
        <row r="370">
          <cell r="B370">
            <v>37226</v>
          </cell>
          <cell r="C370">
            <v>0.90200000000000002</v>
          </cell>
          <cell r="D370">
            <v>0</v>
          </cell>
        </row>
        <row r="371">
          <cell r="B371">
            <v>37591</v>
          </cell>
          <cell r="C371">
            <v>1.369</v>
          </cell>
          <cell r="D371">
            <v>51.773835920177362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2.1970000000000001</v>
          </cell>
          <cell r="G18">
            <v>4.0980000000000008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2.1991999999999998</v>
          </cell>
          <cell r="G18">
            <v>4.0980000000000008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2.2429999999999999</v>
          </cell>
          <cell r="G18">
            <v>4.0980000000000008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2.3359999999999999</v>
          </cell>
          <cell r="G18">
            <v>4.0980000000000008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2.4119999999999999</v>
          </cell>
          <cell r="G18">
            <v>4.0980000000000008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2.423</v>
          </cell>
          <cell r="G18">
            <v>4.0980000000000008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2.431</v>
          </cell>
          <cell r="G18">
            <v>4.0980000000000008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2.4350000000000001</v>
          </cell>
          <cell r="G18">
            <v>4.0980000000000008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2.4409999999999998</v>
          </cell>
          <cell r="G18">
            <v>3.8880000000000003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2.4329999999999998</v>
          </cell>
          <cell r="G18">
            <v>3.8880000000000003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PESOSa"/>
      <sheetName val="PESOSr"/>
      <sheetName val="PESOSdat"/>
      <sheetName val="PESOSou"/>
      <sheetName val="DAT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2.0892000000000004</v>
          </cell>
          <cell r="G18">
            <v>4.0679999999999996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2.4319999999999999</v>
          </cell>
          <cell r="G18">
            <v>3.8880000000000003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  <sheetName val="RESUMO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2.4300000000000002</v>
          </cell>
          <cell r="G18">
            <v>3.8880000000000003</v>
          </cell>
        </row>
      </sheetData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2.4289999999999998</v>
          </cell>
          <cell r="G18">
            <v>3.8880000000000003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2.5790000000000002</v>
          </cell>
          <cell r="G18">
            <v>3.8880000000000003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2.59</v>
          </cell>
          <cell r="G18">
            <v>4.0589999999999993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2.593</v>
          </cell>
          <cell r="G18">
            <v>4.0589999999999993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2.6</v>
          </cell>
          <cell r="G18">
            <v>3.3914285714285719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2.6059999999999994</v>
          </cell>
          <cell r="G18">
            <v>3.3914285714285719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2.6080000000000001</v>
          </cell>
          <cell r="G18">
            <v>3.3200000000000003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2.61</v>
          </cell>
          <cell r="G18">
            <v>3.3914285714285719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PESOSa"/>
      <sheetName val="PESOSr"/>
      <sheetName val="PESOSdat"/>
      <sheetName val="PESOSou"/>
      <sheetName val="DAT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2.0456000000000003</v>
          </cell>
          <cell r="G18">
            <v>4.0980000000000008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  <sheetName val="RESUMOr_FARMA"/>
      <sheetName val="Generalidades_FARMA"/>
      <sheetName val="Fracionada_FAR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2.61</v>
          </cell>
          <cell r="G18">
            <v>3.3914285714285719</v>
          </cell>
        </row>
      </sheetData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  <sheetName val="RESUMOr_FARMA"/>
      <sheetName val="Generalidades_FARMA"/>
      <sheetName val="Fracionada_FAR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2.6380000000000003</v>
          </cell>
          <cell r="G18">
            <v>2.94</v>
          </cell>
        </row>
      </sheetData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  <sheetName val="RESUMOr_FARMA"/>
      <sheetName val="Generalidades_FARMA"/>
      <sheetName val="Fracionada_FAR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2.64</v>
          </cell>
          <cell r="G18">
            <v>2.94</v>
          </cell>
        </row>
      </sheetData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  <sheetName val="RESUMOr_FARMA"/>
      <sheetName val="Generalidades_FARMA"/>
      <sheetName val="Fracionada_FAR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2.64</v>
          </cell>
          <cell r="G18">
            <v>2.94</v>
          </cell>
        </row>
      </sheetData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2.7510000000000003</v>
          </cell>
          <cell r="G18">
            <v>2.94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2.7570000000000006</v>
          </cell>
          <cell r="G18">
            <v>2.94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2.7669999999999999</v>
          </cell>
          <cell r="G18">
            <v>2.9408333333333334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2.9550000000000005</v>
          </cell>
          <cell r="G18">
            <v>3.0574999999999997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2.9570000000000003</v>
          </cell>
          <cell r="G18">
            <v>2.9816666666666669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2.9580000000000006</v>
          </cell>
          <cell r="G18">
            <v>2.9816666666666669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PESOSa"/>
      <sheetName val="PESOSr"/>
      <sheetName val="PESOSdat"/>
      <sheetName val="PESOSou"/>
      <sheetName val="DAT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2.069</v>
          </cell>
          <cell r="G18">
            <v>4.1070000000000002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2.956</v>
          </cell>
          <cell r="G18">
            <v>2.999166666666667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2.9570000000000003</v>
          </cell>
          <cell r="G18">
            <v>3.0158333333333336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2.9520000000000004</v>
          </cell>
          <cell r="G18">
            <v>3.0158333333333336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2.9510000000000001</v>
          </cell>
          <cell r="G18">
            <v>3.0158333333333336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2.9600000000000004</v>
          </cell>
          <cell r="G18">
            <v>3.0408333333333335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3.0830000000000006</v>
          </cell>
          <cell r="G18">
            <v>3.0158333333333336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3.1230000000000007</v>
          </cell>
          <cell r="G18">
            <v>3.0158333333333336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3.1290000000000004</v>
          </cell>
          <cell r="G18">
            <v>3.0741666666666667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3.1559999999999997</v>
          </cell>
          <cell r="G18">
            <v>2.9408333333333334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3.16</v>
          </cell>
          <cell r="G18">
            <v>2.5245000000000002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PESOSa"/>
      <sheetName val="PESOSr"/>
      <sheetName val="PESOSdat"/>
      <sheetName val="PESOSou"/>
      <sheetName val="DAT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2.0751999999999997</v>
          </cell>
          <cell r="G18">
            <v>4.1020000000000003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3.1629999999999998</v>
          </cell>
          <cell r="G18">
            <v>2.5245000000000002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3.1640000000000006</v>
          </cell>
          <cell r="G18">
            <v>2.5245000000000002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3.1580000000000004</v>
          </cell>
          <cell r="G18">
            <v>2.5245000000000002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3.1589999999999994</v>
          </cell>
          <cell r="G18">
            <v>2.4578333333333338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3.1520000000000006</v>
          </cell>
          <cell r="G18">
            <v>2.4578333333333338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3.1499999999999995</v>
          </cell>
          <cell r="G18">
            <v>2.4578333333333338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3.1490000000000005</v>
          </cell>
          <cell r="G18">
            <v>2.4578333333333338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3.1469999999999994</v>
          </cell>
          <cell r="G18">
            <v>2.4578333333333338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3.1280000000000001</v>
          </cell>
          <cell r="G18">
            <v>2.3911666666666673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3.1900000000000004</v>
          </cell>
          <cell r="G18">
            <v>2.3911666666666673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2.1390000000000002</v>
          </cell>
          <cell r="G18">
            <v>4.1020000000000003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3.262</v>
          </cell>
          <cell r="G18">
            <v>2.3911666666666673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3.238</v>
          </cell>
          <cell r="G18">
            <v>2.3911666666666673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3.1750000000000003</v>
          </cell>
          <cell r="G18">
            <v>2.3911666666666673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3.1539999999999999</v>
          </cell>
          <cell r="G18">
            <v>2.3911666666666673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3.1520000000000006</v>
          </cell>
          <cell r="G18">
            <v>2.3911666666666673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3.0979999999999994</v>
          </cell>
          <cell r="G18">
            <v>2.3911666666666673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3.1849999999999996</v>
          </cell>
          <cell r="G18">
            <v>2.3911666666666673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3.2459999999999996</v>
          </cell>
          <cell r="G18">
            <v>2.3911666666666673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3.3329999999999993</v>
          </cell>
          <cell r="G18">
            <v>2.3911666666666673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3.343</v>
          </cell>
          <cell r="G18">
            <v>2.3911666666666673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2.1471999999999993</v>
          </cell>
          <cell r="G18">
            <v>4.1539999999999999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-17"/>
      <sheetName val="fev-17"/>
      <sheetName val="mar-17"/>
      <sheetName val="abr-17"/>
      <sheetName val="mai-17"/>
      <sheetName val="jun-17"/>
      <sheetName val="jul-17"/>
      <sheetName val="ago-17"/>
      <sheetName val="set-17"/>
      <sheetName val="out-17"/>
      <sheetName val="nov-17"/>
      <sheetName val="dez-17"/>
    </sheetNames>
    <sheetDataSet>
      <sheetData sheetId="0">
        <row r="9">
          <cell r="E9">
            <v>3.7650000000000001</v>
          </cell>
          <cell r="F9">
            <v>2.9289999999999994</v>
          </cell>
        </row>
      </sheetData>
      <sheetData sheetId="1">
        <row r="9">
          <cell r="E9">
            <v>3.7489999999999997</v>
          </cell>
          <cell r="F9">
            <v>2.8640000000000003</v>
          </cell>
        </row>
      </sheetData>
      <sheetData sheetId="2">
        <row r="9">
          <cell r="E9">
            <v>3.6679999999999997</v>
          </cell>
          <cell r="F9">
            <v>2.7040000000000002</v>
          </cell>
        </row>
      </sheetData>
      <sheetData sheetId="3">
        <row r="9">
          <cell r="E9">
            <v>3.6260000000000003</v>
          </cell>
          <cell r="F9">
            <v>2.6149999999999998</v>
          </cell>
        </row>
      </sheetData>
      <sheetData sheetId="4">
        <row r="9">
          <cell r="E9">
            <v>3.6060000000000008</v>
          </cell>
          <cell r="F9">
            <v>2.5680000000000001</v>
          </cell>
        </row>
      </sheetData>
      <sheetData sheetId="5">
        <row r="9">
          <cell r="E9">
            <v>3.5099999999999989</v>
          </cell>
          <cell r="F9">
            <v>2.4510000000000001</v>
          </cell>
        </row>
      </sheetData>
      <sheetData sheetId="6">
        <row r="9">
          <cell r="E9">
            <v>3.7489999999999997</v>
          </cell>
          <cell r="F9">
            <v>2.5920000000000001</v>
          </cell>
        </row>
      </sheetData>
      <sheetData sheetId="7">
        <row r="9">
          <cell r="E9">
            <v>3.7730000000000001</v>
          </cell>
          <cell r="F9">
            <v>2.597</v>
          </cell>
        </row>
      </sheetData>
      <sheetData sheetId="8">
        <row r="9">
          <cell r="E9">
            <v>3.8839999999999999</v>
          </cell>
          <cell r="F9">
            <v>2.637</v>
          </cell>
        </row>
      </sheetData>
      <sheetData sheetId="9">
        <row r="9">
          <cell r="E9">
            <v>3.8780000000000001</v>
          </cell>
          <cell r="F9">
            <v>2.6810000000000005</v>
          </cell>
        </row>
      </sheetData>
      <sheetData sheetId="10">
        <row r="9">
          <cell r="C9">
            <v>3.4329999999999998</v>
          </cell>
          <cell r="E9">
            <v>4.0229999999999997</v>
          </cell>
          <cell r="F9">
            <v>2.8120000000000003</v>
          </cell>
        </row>
      </sheetData>
      <sheetData sheetId="11">
        <row r="9">
          <cell r="C9">
            <v>3.4639999999999995</v>
          </cell>
          <cell r="E9">
            <v>4.0990000000000002</v>
          </cell>
          <cell r="F9">
            <v>2.8270000000000004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-18"/>
      <sheetName val="fev-18"/>
      <sheetName val="mar-18"/>
      <sheetName val="abr-17"/>
      <sheetName val="mai-17"/>
      <sheetName val="jun-17"/>
      <sheetName val="jul-17"/>
      <sheetName val="ago-17"/>
      <sheetName val="set-17"/>
      <sheetName val="out-17"/>
      <sheetName val="nov-17"/>
      <sheetName val="dez-17"/>
      <sheetName val="MAAR-18"/>
    </sheetNames>
    <sheetDataSet>
      <sheetData sheetId="0">
        <row r="9">
          <cell r="C9">
            <v>3.5010000000000003</v>
          </cell>
          <cell r="D9">
            <v>1.823666666666667</v>
          </cell>
          <cell r="E9">
            <v>4.1980000000000004</v>
          </cell>
          <cell r="F9">
            <v>3.0019999999999993</v>
          </cell>
        </row>
      </sheetData>
      <sheetData sheetId="1">
        <row r="9">
          <cell r="C9">
            <v>3.5079999999999996</v>
          </cell>
          <cell r="D9">
            <v>1.823666666666667</v>
          </cell>
          <cell r="E9">
            <v>4.2089999999999996</v>
          </cell>
          <cell r="F9">
            <v>3.0270000000000006</v>
          </cell>
        </row>
      </sheetData>
      <sheetData sheetId="2">
        <row r="9">
          <cell r="C9">
            <v>3.5040000000000004</v>
          </cell>
          <cell r="E9">
            <v>4.2</v>
          </cell>
          <cell r="F9">
            <v>3.0479999999999996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Diesel_500"/>
      <sheetName val="Diesel_S10"/>
      <sheetName val="Arla_32"/>
      <sheetName val="Câmbio"/>
      <sheetName val="Carter"/>
      <sheetName val="Despesas Indireta"/>
      <sheetName val="Motorista"/>
      <sheetName val="Cav. Mecânico"/>
      <sheetName val="Semirreboque"/>
      <sheetName val="Rodoar"/>
      <sheetName val="Pneu"/>
      <sheetName val="Recapagem"/>
      <sheetName val="Lavagem"/>
      <sheetName val="Seguros"/>
      <sheetName val="Manutenção"/>
      <sheetName val="EVOL. INSUMOS"/>
      <sheetName val="RESUMO_MÊS"/>
      <sheetName val="Dxiesel_500"/>
    </sheetNames>
    <sheetDataSet>
      <sheetData sheetId="0" refreshError="1"/>
      <sheetData sheetId="1" refreshError="1">
        <row r="150">
          <cell r="A150" t="str">
            <v>AGOSTO|15</v>
          </cell>
        </row>
        <row r="151">
          <cell r="A151" t="str">
            <v>SETEMBRO|15</v>
          </cell>
        </row>
        <row r="152">
          <cell r="A152" t="str">
            <v>OUTUBRO|15</v>
          </cell>
        </row>
        <row r="153">
          <cell r="A153" t="str">
            <v>NOVEMBRO|15</v>
          </cell>
        </row>
        <row r="154">
          <cell r="A154" t="str">
            <v>DEZEMBRO|15</v>
          </cell>
        </row>
        <row r="155">
          <cell r="A155" t="str">
            <v>JANEIRO|16</v>
          </cell>
        </row>
        <row r="156">
          <cell r="A156" t="str">
            <v>FEVEREIRO|16</v>
          </cell>
        </row>
        <row r="157">
          <cell r="A157" t="str">
            <v>MARÇO|16</v>
          </cell>
        </row>
        <row r="158">
          <cell r="A158" t="str">
            <v>ABRIL|16</v>
          </cell>
        </row>
      </sheetData>
      <sheetData sheetId="2" refreshError="1">
        <row r="8">
          <cell r="A8" t="str">
            <v>MARÇO|12</v>
          </cell>
        </row>
        <row r="23">
          <cell r="A23" t="str">
            <v>JUNHO|13</v>
          </cell>
          <cell r="B23">
            <v>2.4350000000000001</v>
          </cell>
        </row>
        <row r="24">
          <cell r="A24" t="str">
            <v>JULHO|13</v>
          </cell>
          <cell r="B24">
            <v>2.4409999999999998</v>
          </cell>
        </row>
        <row r="25">
          <cell r="A25" t="str">
            <v>AGOSTO|13</v>
          </cell>
          <cell r="B25">
            <v>2.4329999999999998</v>
          </cell>
        </row>
        <row r="26">
          <cell r="A26" t="str">
            <v>SETEMBRO|13</v>
          </cell>
          <cell r="B26">
            <v>2.4319999999999999</v>
          </cell>
        </row>
        <row r="27">
          <cell r="A27" t="str">
            <v>OUTUBRO|13</v>
          </cell>
          <cell r="B27">
            <v>2.4300000000000002</v>
          </cell>
        </row>
        <row r="28">
          <cell r="A28" t="str">
            <v>NOVEMBRO|13</v>
          </cell>
          <cell r="B28">
            <v>2.4289999999999998</v>
          </cell>
        </row>
        <row r="29">
          <cell r="A29" t="str">
            <v>DEZEMBRO|13</v>
          </cell>
          <cell r="B29">
            <v>2.5790000000000002</v>
          </cell>
        </row>
        <row r="30">
          <cell r="A30" t="str">
            <v>JANEIRO|14</v>
          </cell>
          <cell r="B30">
            <v>2.59</v>
          </cell>
        </row>
        <row r="31">
          <cell r="A31" t="str">
            <v>FEVEREIRO|14</v>
          </cell>
          <cell r="B31">
            <v>2.593</v>
          </cell>
        </row>
        <row r="32">
          <cell r="A32" t="str">
            <v>MARÇO|14</v>
          </cell>
          <cell r="B32">
            <v>2.6</v>
          </cell>
        </row>
        <row r="33">
          <cell r="A33" t="str">
            <v>ABRIL|14</v>
          </cell>
          <cell r="B33">
            <v>2.6059999999999994</v>
          </cell>
        </row>
        <row r="34">
          <cell r="A34" t="str">
            <v>MAIO|14</v>
          </cell>
          <cell r="B34">
            <v>2.6080000000000001</v>
          </cell>
        </row>
        <row r="35">
          <cell r="A35" t="str">
            <v>JUNHO|14</v>
          </cell>
          <cell r="B35">
            <v>2.61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Diesel_500"/>
      <sheetName val="Diesel_S10"/>
      <sheetName val="Arla_32"/>
      <sheetName val="Câmbio"/>
      <sheetName val="Carter"/>
      <sheetName val="Despesas Indireta"/>
      <sheetName val="Motorista"/>
      <sheetName val="Cav. Mecânico"/>
      <sheetName val="Semirreboque"/>
      <sheetName val="Rodoar"/>
      <sheetName val="Pneu"/>
      <sheetName val="Recapagem"/>
      <sheetName val="Lavagem"/>
      <sheetName val="Seguros"/>
      <sheetName val="Manutenção"/>
      <sheetName val="EVOL. INSUMOS"/>
      <sheetName val="RESUMO_MÊS"/>
    </sheetNames>
    <sheetDataSet>
      <sheetData sheetId="0"/>
      <sheetData sheetId="1">
        <row r="159">
          <cell r="A159" t="str">
            <v>MAIO|16</v>
          </cell>
        </row>
        <row r="160">
          <cell r="A160" t="str">
            <v>JUNHO|16</v>
          </cell>
        </row>
        <row r="161">
          <cell r="A161" t="str">
            <v>JULHO|16</v>
          </cell>
        </row>
        <row r="162">
          <cell r="A162" t="str">
            <v>AGOSTO|16</v>
          </cell>
        </row>
        <row r="163">
          <cell r="A163" t="str">
            <v>SETEMBRO|16</v>
          </cell>
        </row>
        <row r="164">
          <cell r="A164" t="str">
            <v>OUTUBRO|16</v>
          </cell>
        </row>
        <row r="165">
          <cell r="A165" t="str">
            <v>NOVEMBRO|16</v>
          </cell>
        </row>
        <row r="166">
          <cell r="A166" t="str">
            <v>DEZEMBRO|16</v>
          </cell>
        </row>
        <row r="167">
          <cell r="A167" t="str">
            <v>JANEIRO|17</v>
          </cell>
        </row>
        <row r="168">
          <cell r="A168" t="str">
            <v>FEVEREIRO|17</v>
          </cell>
        </row>
        <row r="169">
          <cell r="A169" t="str">
            <v>MARÇO|17</v>
          </cell>
        </row>
        <row r="170">
          <cell r="A170" t="str">
            <v>ABRIL|17</v>
          </cell>
        </row>
        <row r="171">
          <cell r="A171" t="str">
            <v>MAIO|17</v>
          </cell>
        </row>
        <row r="172">
          <cell r="A172" t="str">
            <v>JUNHO|17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G18">
            <v>1.823666666666667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G18">
            <v>1.823666666666667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99"/>
      <sheetName val="fEV.99"/>
      <sheetName val="Mar99"/>
      <sheetName val="abr99"/>
      <sheetName val="mai99"/>
      <sheetName val="jun99"/>
      <sheetName val="Jul99"/>
      <sheetName val="Jan2000"/>
      <sheetName val="Fev2000"/>
      <sheetName val="Mar2000"/>
      <sheetName val="Abril2000"/>
      <sheetName val="Maio2000"/>
      <sheetName val="Junho2000"/>
      <sheetName val="Julho2000"/>
      <sheetName val="Agosto2000"/>
      <sheetName val="Setembro2000"/>
      <sheetName val="Outubro2000"/>
      <sheetName val="Novembro2000"/>
      <sheetName val="Dezembro2000"/>
      <sheetName val="abr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>
            <v>1.2170714285714286</v>
          </cell>
          <cell r="D20">
            <v>0.75973333333333326</v>
          </cell>
        </row>
      </sheetData>
      <sheetData sheetId="8">
        <row r="20">
          <cell r="C20">
            <v>1.23</v>
          </cell>
          <cell r="D20">
            <v>0.75803333333333323</v>
          </cell>
        </row>
      </sheetData>
      <sheetData sheetId="9">
        <row r="20">
          <cell r="C20">
            <v>1.2675333333333332</v>
          </cell>
          <cell r="D20">
            <v>0.75573333333333326</v>
          </cell>
        </row>
      </sheetData>
      <sheetData sheetId="10">
        <row r="18">
          <cell r="C18">
            <v>1.2675333333333332</v>
          </cell>
          <cell r="D18">
            <v>0.75573333333333326</v>
          </cell>
        </row>
      </sheetData>
      <sheetData sheetId="11">
        <row r="18">
          <cell r="C18">
            <v>1.2522666666666666</v>
          </cell>
          <cell r="D18">
            <v>0.73366666666666658</v>
          </cell>
        </row>
      </sheetData>
      <sheetData sheetId="12">
        <row r="18">
          <cell r="C18">
            <v>1.2475999999999998</v>
          </cell>
          <cell r="D18">
            <v>0.72760000000000002</v>
          </cell>
        </row>
      </sheetData>
      <sheetData sheetId="13">
        <row r="16">
          <cell r="C16">
            <v>1.4430000000000001</v>
          </cell>
          <cell r="D16">
            <v>0.89623076923076916</v>
          </cell>
        </row>
      </sheetData>
      <sheetData sheetId="14">
        <row r="16">
          <cell r="C16">
            <v>1.5021538461538457</v>
          </cell>
          <cell r="D16">
            <v>1.1240000000000001</v>
          </cell>
        </row>
      </sheetData>
      <sheetData sheetId="15">
        <row r="18">
          <cell r="C18">
            <v>1.5067692307692306</v>
          </cell>
          <cell r="D18">
            <v>1.0636923076923077</v>
          </cell>
        </row>
      </sheetData>
      <sheetData sheetId="16">
        <row r="18">
          <cell r="C18">
            <v>1.5129230769230766</v>
          </cell>
          <cell r="D18">
            <v>1.0695384615384615</v>
          </cell>
        </row>
      </sheetData>
      <sheetData sheetId="17">
        <row r="18">
          <cell r="C18">
            <v>1.5084615384615385</v>
          </cell>
          <cell r="D18">
            <v>1.0812307692307692</v>
          </cell>
        </row>
      </sheetData>
      <sheetData sheetId="18">
        <row r="18">
          <cell r="C18">
            <v>1.5152307692307692</v>
          </cell>
          <cell r="D18">
            <v>1.0695384615384615</v>
          </cell>
        </row>
      </sheetData>
      <sheetData sheetId="19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2001"/>
      <sheetName val="Fev2001"/>
      <sheetName val="Março2001"/>
      <sheetName val="abril2001"/>
      <sheetName val="Maio2001"/>
      <sheetName val="Junho2001"/>
      <sheetName val="Julho2001"/>
      <sheetName val="Agosto2001"/>
      <sheetName val="setembro2001"/>
      <sheetName val="outubro2001"/>
      <sheetName val="Novembro2001"/>
      <sheetName val="Dezembro2001"/>
    </sheetNames>
    <sheetDataSet>
      <sheetData sheetId="0">
        <row r="17">
          <cell r="C17">
            <v>1.64825</v>
          </cell>
          <cell r="D17">
            <v>1.0715000000000001</v>
          </cell>
        </row>
      </sheetData>
      <sheetData sheetId="1">
        <row r="18">
          <cell r="C18">
            <v>1.5918461538461537</v>
          </cell>
          <cell r="D18">
            <v>1.0034615384615384</v>
          </cell>
        </row>
      </sheetData>
      <sheetData sheetId="2">
        <row r="17">
          <cell r="C17">
            <v>1.6490833333333335</v>
          </cell>
          <cell r="D17">
            <v>1.0753333333333333</v>
          </cell>
        </row>
      </sheetData>
      <sheetData sheetId="3">
        <row r="17">
          <cell r="C17">
            <v>1.6061666666666667</v>
          </cell>
          <cell r="D17">
            <v>1.0640833333333333</v>
          </cell>
        </row>
      </sheetData>
      <sheetData sheetId="4">
        <row r="18">
          <cell r="C18">
            <v>1.5918461538461537</v>
          </cell>
          <cell r="D18">
            <v>1.0034615384615384</v>
          </cell>
        </row>
      </sheetData>
      <sheetData sheetId="5">
        <row r="18">
          <cell r="C18">
            <v>1.5865384615384615</v>
          </cell>
          <cell r="D18">
            <v>1.0112307692307694</v>
          </cell>
        </row>
      </sheetData>
      <sheetData sheetId="6">
        <row r="18">
          <cell r="C18">
            <v>1.7111538461538462</v>
          </cell>
          <cell r="D18">
            <v>0.96015384615384625</v>
          </cell>
        </row>
      </sheetData>
      <sheetData sheetId="7">
        <row r="18">
          <cell r="C18">
            <v>1.6990769230769232</v>
          </cell>
          <cell r="D18">
            <v>0.95938461538461539</v>
          </cell>
        </row>
      </sheetData>
      <sheetData sheetId="8">
        <row r="18">
          <cell r="C18">
            <v>1.7085384615384618</v>
          </cell>
          <cell r="D18">
            <v>0.92907692307692291</v>
          </cell>
        </row>
      </sheetData>
      <sheetData sheetId="9">
        <row r="18">
          <cell r="C18">
            <v>1.7085384615384618</v>
          </cell>
          <cell r="D18">
            <v>0.92907692307692291</v>
          </cell>
        </row>
      </sheetData>
      <sheetData sheetId="10">
        <row r="18">
          <cell r="C18">
            <v>1.7375384615384617</v>
          </cell>
          <cell r="D18">
            <v>0.94176923076923069</v>
          </cell>
        </row>
      </sheetData>
      <sheetData sheetId="11">
        <row r="18">
          <cell r="C18">
            <v>1.7398461538461538</v>
          </cell>
          <cell r="D18">
            <v>0.94176923076923069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2"/>
      <sheetName val="Fevereiro02"/>
      <sheetName val="Março02"/>
      <sheetName val="Abril02"/>
      <sheetName val="Maio02"/>
      <sheetName val="Junho02"/>
      <sheetName val="Julho02"/>
      <sheetName val="Agosto02"/>
      <sheetName val="Setembro02"/>
      <sheetName val="Outubro02"/>
      <sheetName val="Novembro02"/>
      <sheetName val="Dezembro02"/>
    </sheetNames>
    <sheetDataSet>
      <sheetData sheetId="0">
        <row r="18">
          <cell r="C18">
            <v>1.5614000000000001</v>
          </cell>
          <cell r="D18">
            <v>0.92420000000000013</v>
          </cell>
        </row>
      </sheetData>
      <sheetData sheetId="1">
        <row r="18">
          <cell r="C18">
            <v>1.5644</v>
          </cell>
          <cell r="D18">
            <v>0.92420000000000013</v>
          </cell>
        </row>
      </sheetData>
      <sheetData sheetId="2">
        <row r="17">
          <cell r="C17">
            <v>1.6429166666666666</v>
          </cell>
          <cell r="D17">
            <v>0.90850000000000009</v>
          </cell>
        </row>
      </sheetData>
      <sheetData sheetId="3">
        <row r="17">
          <cell r="C17">
            <v>1.6612499999999999</v>
          </cell>
          <cell r="D17">
            <v>0.90850000000000009</v>
          </cell>
        </row>
      </sheetData>
      <sheetData sheetId="4">
        <row r="19">
          <cell r="C19">
            <v>1.7248461538461537</v>
          </cell>
          <cell r="D19">
            <v>0.90984615384615375</v>
          </cell>
        </row>
      </sheetData>
      <sheetData sheetId="5">
        <row r="19">
          <cell r="C19">
            <v>1.7330000000000001</v>
          </cell>
          <cell r="D19">
            <v>0.90984615384615375</v>
          </cell>
        </row>
      </sheetData>
      <sheetData sheetId="6">
        <row r="18">
          <cell r="C18">
            <v>1.7912142857142859</v>
          </cell>
          <cell r="D18">
            <v>0.82707142857142857</v>
          </cell>
        </row>
      </sheetData>
      <sheetData sheetId="7">
        <row r="17">
          <cell r="C17">
            <v>1.7587857142857144</v>
          </cell>
          <cell r="D17">
            <v>0.77185714285714291</v>
          </cell>
        </row>
      </sheetData>
      <sheetData sheetId="8">
        <row r="17">
          <cell r="C17">
            <v>1.7524615384615387</v>
          </cell>
          <cell r="D17">
            <v>0.81515384615384623</v>
          </cell>
        </row>
      </sheetData>
      <sheetData sheetId="9">
        <row r="17">
          <cell r="C17">
            <v>1.763076923076923</v>
          </cell>
          <cell r="D17">
            <v>0.89115384615384619</v>
          </cell>
        </row>
      </sheetData>
      <sheetData sheetId="10">
        <row r="17">
          <cell r="C17">
            <v>1.9886923076923073</v>
          </cell>
          <cell r="D17">
            <v>1.2211538461538463</v>
          </cell>
        </row>
      </sheetData>
      <sheetData sheetId="11">
        <row r="17">
          <cell r="C17">
            <v>1.9424999999999997</v>
          </cell>
          <cell r="D17">
            <v>1.2283571428571427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3"/>
      <sheetName val="Fev03"/>
      <sheetName val="Março03"/>
      <sheetName val="Abril03"/>
      <sheetName val="Maio03"/>
      <sheetName val="Junho03"/>
      <sheetName val="Julho03"/>
      <sheetName val="Agosto03"/>
      <sheetName val="Setembro03"/>
      <sheetName val="Outubro03"/>
      <sheetName val="Novembro03"/>
      <sheetName val="Dezembro03"/>
    </sheetNames>
    <sheetDataSet>
      <sheetData sheetId="0">
        <row r="17">
          <cell r="C17">
            <v>2.1697142857142855</v>
          </cell>
          <cell r="D17">
            <v>1.3698571428571431</v>
          </cell>
        </row>
      </sheetData>
      <sheetData sheetId="1">
        <row r="17">
          <cell r="C17">
            <v>2.1954999999999996</v>
          </cell>
          <cell r="D17">
            <v>1.4362142857142859</v>
          </cell>
        </row>
      </sheetData>
      <sheetData sheetId="2">
        <row r="17">
          <cell r="C17">
            <v>2.1702857142857139</v>
          </cell>
          <cell r="D17">
            <v>1.4590000000000005</v>
          </cell>
        </row>
      </sheetData>
      <sheetData sheetId="3">
        <row r="18">
          <cell r="C18">
            <v>2.178866666666667</v>
          </cell>
          <cell r="D18">
            <v>1.4490000000000003</v>
          </cell>
        </row>
      </sheetData>
      <sheetData sheetId="4">
        <row r="18">
          <cell r="C18">
            <v>2.0645714285714285</v>
          </cell>
          <cell r="D18">
            <v>1.3775714285714287</v>
          </cell>
        </row>
      </sheetData>
      <sheetData sheetId="5">
        <row r="18">
          <cell r="C18">
            <v>1.999066666666667</v>
          </cell>
          <cell r="D18">
            <v>1.0990000000000002</v>
          </cell>
        </row>
      </sheetData>
      <sheetData sheetId="6">
        <row r="18">
          <cell r="C18">
            <v>1.9216666666666669</v>
          </cell>
          <cell r="D18">
            <v>1.0089999999999999</v>
          </cell>
        </row>
      </sheetData>
      <sheetData sheetId="7">
        <row r="18">
          <cell r="C18">
            <v>1.9488750000000004</v>
          </cell>
          <cell r="D18">
            <v>1.0426250000000001</v>
          </cell>
        </row>
      </sheetData>
      <sheetData sheetId="8">
        <row r="18">
          <cell r="C18">
            <v>1.9464999999999999</v>
          </cell>
          <cell r="D18">
            <v>1.0690000000000002</v>
          </cell>
        </row>
      </sheetData>
      <sheetData sheetId="9">
        <row r="18">
          <cell r="C18">
            <v>1.9365000000000001</v>
          </cell>
          <cell r="D18">
            <v>1.0253125000000001</v>
          </cell>
        </row>
      </sheetData>
      <sheetData sheetId="10">
        <row r="18">
          <cell r="C18">
            <v>1.9288750000000001</v>
          </cell>
          <cell r="D18">
            <v>0.99906250000000008</v>
          </cell>
        </row>
      </sheetData>
      <sheetData sheetId="11">
        <row r="18">
          <cell r="C18">
            <v>1.9383750000000002</v>
          </cell>
          <cell r="D18">
            <v>0.99149999999999994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2.1471999999999993</v>
          </cell>
          <cell r="G18">
            <v>4.1980000000000004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4"/>
      <sheetName val="Fev04"/>
      <sheetName val="Março04"/>
      <sheetName val="Abril04"/>
      <sheetName val="Maio04"/>
      <sheetName val="Junho04"/>
      <sheetName val="Julho04"/>
      <sheetName val="Agosto04"/>
      <sheetName val="Setembro04"/>
      <sheetName val="Outubro04"/>
      <sheetName val="Novembro04"/>
      <sheetName val="Dezembro04"/>
    </sheetNames>
    <sheetDataSet>
      <sheetData sheetId="0">
        <row r="18">
          <cell r="C18">
            <v>1.9358750000000005</v>
          </cell>
          <cell r="D18">
            <v>0.99775000000000003</v>
          </cell>
        </row>
      </sheetData>
      <sheetData sheetId="1">
        <row r="18">
          <cell r="C18">
            <v>1.9340000000000004</v>
          </cell>
          <cell r="D18">
            <v>0.95462500000000006</v>
          </cell>
        </row>
      </sheetData>
      <sheetData sheetId="2">
        <row r="18">
          <cell r="C18">
            <v>1.9088750000000001</v>
          </cell>
          <cell r="D18">
            <v>0.82712500000000022</v>
          </cell>
        </row>
      </sheetData>
      <sheetData sheetId="3">
        <row r="18">
          <cell r="C18">
            <v>1.8838750000000002</v>
          </cell>
          <cell r="D18">
            <v>0.78525</v>
          </cell>
        </row>
      </sheetData>
      <sheetData sheetId="4">
        <row r="18">
          <cell r="C18">
            <v>1.8890000000000002</v>
          </cell>
          <cell r="D18">
            <v>0.80899999999999983</v>
          </cell>
        </row>
      </sheetData>
      <sheetData sheetId="5">
        <row r="18">
          <cell r="C18">
            <v>2.0189999999999997</v>
          </cell>
          <cell r="D18">
            <v>0.86899999999999999</v>
          </cell>
        </row>
      </sheetData>
      <sheetData sheetId="6">
        <row r="18">
          <cell r="C18">
            <v>1.994</v>
          </cell>
          <cell r="D18">
            <v>0.83899999999999986</v>
          </cell>
        </row>
      </sheetData>
      <sheetData sheetId="7">
        <row r="18">
          <cell r="C18">
            <v>2.0027499999999998</v>
          </cell>
          <cell r="D18">
            <v>0.87837500000000002</v>
          </cell>
        </row>
      </sheetData>
      <sheetData sheetId="8">
        <row r="18">
          <cell r="C18">
            <v>1.9978125</v>
          </cell>
          <cell r="D18">
            <v>0.9421250000000001</v>
          </cell>
        </row>
      </sheetData>
      <sheetData sheetId="9">
        <row r="18">
          <cell r="C18">
            <v>2.0577500000000004</v>
          </cell>
          <cell r="D18">
            <v>0.95899999999999985</v>
          </cell>
        </row>
      </sheetData>
      <sheetData sheetId="10">
        <row r="18">
          <cell r="C18">
            <v>2.069</v>
          </cell>
          <cell r="D18">
            <v>1.0089999999999999</v>
          </cell>
        </row>
      </sheetData>
      <sheetData sheetId="11">
        <row r="18">
          <cell r="C18">
            <v>2.2288749999999995</v>
          </cell>
          <cell r="D18">
            <v>1.2858750000000001</v>
          </cell>
        </row>
      </sheetData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18">
          <cell r="C18">
            <v>2.2093124999999998</v>
          </cell>
          <cell r="D18">
            <v>1.2990000000000002</v>
          </cell>
        </row>
      </sheetData>
      <sheetData sheetId="1">
        <row r="18">
          <cell r="C18">
            <v>2.2086874999999995</v>
          </cell>
          <cell r="D18">
            <v>1.3108749999999998</v>
          </cell>
        </row>
      </sheetData>
      <sheetData sheetId="2">
        <row r="18">
          <cell r="C18">
            <v>2.2189999999999999</v>
          </cell>
          <cell r="D18">
            <v>1.319</v>
          </cell>
        </row>
      </sheetData>
      <sheetData sheetId="3">
        <row r="18">
          <cell r="C18">
            <v>2.1989999999999998</v>
          </cell>
          <cell r="D18">
            <v>1.29775</v>
          </cell>
        </row>
      </sheetData>
      <sheetData sheetId="4">
        <row r="18">
          <cell r="C18">
            <v>2.2090000000000001</v>
          </cell>
          <cell r="D18">
            <v>1.2989999999999999</v>
          </cell>
        </row>
      </sheetData>
      <sheetData sheetId="5">
        <row r="18">
          <cell r="C18">
            <v>2.1890000000000001</v>
          </cell>
          <cell r="D18">
            <v>1.2789999999999997</v>
          </cell>
        </row>
      </sheetData>
      <sheetData sheetId="6">
        <row r="18">
          <cell r="C18">
            <v>2.1690625000000003</v>
          </cell>
          <cell r="D18">
            <v>1.2533749999999999</v>
          </cell>
        </row>
      </sheetData>
      <sheetData sheetId="7">
        <row r="18">
          <cell r="C18">
            <v>2.1628124999999994</v>
          </cell>
          <cell r="D18">
            <v>1.2190000000000001</v>
          </cell>
        </row>
      </sheetData>
      <sheetData sheetId="8">
        <row r="18">
          <cell r="C18">
            <v>2.3690625000000001</v>
          </cell>
          <cell r="D18">
            <v>1.234</v>
          </cell>
        </row>
      </sheetData>
      <sheetData sheetId="9">
        <row r="18">
          <cell r="C18">
            <v>2.3790625000000003</v>
          </cell>
          <cell r="D18">
            <v>1.2802500000000001</v>
          </cell>
        </row>
      </sheetData>
      <sheetData sheetId="10">
        <row r="18">
          <cell r="C18">
            <v>2.3508749999999998</v>
          </cell>
          <cell r="D18">
            <v>1.319</v>
          </cell>
        </row>
      </sheetData>
      <sheetData sheetId="11">
        <row r="18">
          <cell r="C18">
            <v>2.3689999999999998</v>
          </cell>
          <cell r="D18">
            <v>1.329</v>
          </cell>
        </row>
      </sheetData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18">
          <cell r="C18">
            <v>2.399</v>
          </cell>
          <cell r="D18">
            <v>1.3646249999999998</v>
          </cell>
        </row>
      </sheetData>
      <sheetData sheetId="1">
        <row r="18">
          <cell r="C18">
            <v>2.4289999999999998</v>
          </cell>
          <cell r="D18">
            <v>1.5189999999999999</v>
          </cell>
        </row>
      </sheetData>
      <sheetData sheetId="2">
        <row r="18">
          <cell r="C18">
            <v>2.4933750000000003</v>
          </cell>
          <cell r="D18">
            <v>1.6008124999999997</v>
          </cell>
        </row>
      </sheetData>
      <sheetData sheetId="3">
        <row r="18">
          <cell r="C18">
            <v>2.4852500000000002</v>
          </cell>
          <cell r="D18">
            <v>1.6189999999999998</v>
          </cell>
        </row>
      </sheetData>
      <sheetData sheetId="4">
        <row r="18">
          <cell r="C18">
            <v>2.4890000000000003</v>
          </cell>
          <cell r="D18">
            <v>1.599</v>
          </cell>
        </row>
      </sheetData>
      <sheetData sheetId="5">
        <row r="18">
          <cell r="C18">
            <v>2.4689999999999994</v>
          </cell>
          <cell r="D18">
            <v>1.5890000000000002</v>
          </cell>
        </row>
      </sheetData>
      <sheetData sheetId="6">
        <row r="18">
          <cell r="C18">
            <v>2.4846250000000003</v>
          </cell>
          <cell r="D18">
            <v>1.5902499999999999</v>
          </cell>
        </row>
      </sheetData>
      <sheetData sheetId="7">
        <row r="18">
          <cell r="C18">
            <v>2.4489999999999998</v>
          </cell>
          <cell r="D18">
            <v>1.5490000000000002</v>
          </cell>
        </row>
      </sheetData>
      <sheetData sheetId="8">
        <row r="18">
          <cell r="C18">
            <v>2.4390000000000001</v>
          </cell>
          <cell r="D18">
            <v>1.5389999999999999</v>
          </cell>
        </row>
      </sheetData>
      <sheetData sheetId="9">
        <row r="18">
          <cell r="C18">
            <v>2.4108749999999999</v>
          </cell>
          <cell r="D18">
            <v>1.5089999999999999</v>
          </cell>
        </row>
      </sheetData>
      <sheetData sheetId="10">
        <row r="18">
          <cell r="C18">
            <v>2.3896250000000001</v>
          </cell>
          <cell r="D18">
            <v>1.4915</v>
          </cell>
        </row>
      </sheetData>
      <sheetData sheetId="11">
        <row r="18">
          <cell r="C18">
            <v>2.3758750000000002</v>
          </cell>
          <cell r="D18">
            <v>1.4721250000000001</v>
          </cell>
        </row>
      </sheetData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18">
          <cell r="C18">
            <v>2.3689999999999993</v>
          </cell>
          <cell r="D18">
            <v>1.4652500000000004</v>
          </cell>
        </row>
      </sheetData>
      <sheetData sheetId="1">
        <row r="18">
          <cell r="C18">
            <v>2.3590000000000004</v>
          </cell>
          <cell r="D18">
            <v>1.455875</v>
          </cell>
        </row>
      </sheetData>
      <sheetData sheetId="2">
        <row r="18">
          <cell r="C18">
            <v>2.3689999999999998</v>
          </cell>
          <cell r="D18">
            <v>1.4690000000000001</v>
          </cell>
        </row>
      </sheetData>
      <sheetData sheetId="3">
        <row r="18">
          <cell r="C18">
            <v>2.399</v>
          </cell>
          <cell r="D18">
            <v>1.4846250000000001</v>
          </cell>
        </row>
      </sheetData>
      <sheetData sheetId="4">
        <row r="18">
          <cell r="C18">
            <v>2.4089999999999998</v>
          </cell>
          <cell r="D18">
            <v>1.4739999999999998</v>
          </cell>
        </row>
      </sheetData>
      <sheetData sheetId="5">
        <row r="18">
          <cell r="C18">
            <v>2.3890000000000002</v>
          </cell>
          <cell r="D18">
            <v>1.409</v>
          </cell>
        </row>
      </sheetData>
      <sheetData sheetId="6">
        <row r="18">
          <cell r="C18">
            <v>2.3689999999999998</v>
          </cell>
          <cell r="D18">
            <v>1.399</v>
          </cell>
        </row>
      </sheetData>
      <sheetData sheetId="7">
        <row r="18">
          <cell r="C18">
            <v>2.3571249999999999</v>
          </cell>
          <cell r="D18">
            <v>1.3826250000000002</v>
          </cell>
        </row>
      </sheetData>
      <sheetData sheetId="8">
        <row r="18">
          <cell r="C18">
            <v>2.3477500000000004</v>
          </cell>
          <cell r="D18">
            <v>1.348875</v>
          </cell>
        </row>
      </sheetData>
      <sheetData sheetId="9">
        <row r="18">
          <cell r="C18">
            <v>2.3389999999999995</v>
          </cell>
          <cell r="D18">
            <v>1.329</v>
          </cell>
        </row>
      </sheetData>
      <sheetData sheetId="10">
        <row r="18">
          <cell r="C18">
            <v>2.320875</v>
          </cell>
          <cell r="D18">
            <v>1.31525</v>
          </cell>
        </row>
      </sheetData>
      <sheetData sheetId="11">
        <row r="18">
          <cell r="C18">
            <v>2.359</v>
          </cell>
          <cell r="D18">
            <v>1.362125</v>
          </cell>
        </row>
      </sheetData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18">
          <cell r="C18">
            <v>2.3703749999999997</v>
          </cell>
          <cell r="D18">
            <v>1.3690000000000002</v>
          </cell>
        </row>
      </sheetData>
      <sheetData sheetId="1">
        <row r="18">
          <cell r="C18">
            <v>2.359</v>
          </cell>
          <cell r="D18">
            <v>1.3583749999999999</v>
          </cell>
        </row>
      </sheetData>
      <sheetData sheetId="2">
        <row r="18">
          <cell r="C18">
            <v>2.4990000000000001</v>
          </cell>
          <cell r="D18">
            <v>1.4840000000000004</v>
          </cell>
        </row>
      </sheetData>
      <sheetData sheetId="3">
        <row r="18">
          <cell r="C18">
            <v>2.496</v>
          </cell>
          <cell r="D18">
            <v>1.4750000000000003</v>
          </cell>
        </row>
      </sheetData>
      <sheetData sheetId="4">
        <row r="18">
          <cell r="C18">
            <v>2.4990000000000001</v>
          </cell>
          <cell r="D18">
            <v>1.4860000000000004</v>
          </cell>
        </row>
      </sheetData>
      <sheetData sheetId="5">
        <row r="18">
          <cell r="C18">
            <v>2.4929999999999999</v>
          </cell>
          <cell r="D18">
            <v>1.4540000000000004</v>
          </cell>
        </row>
      </sheetData>
      <sheetData sheetId="6">
        <row r="18">
          <cell r="C18">
            <v>2.496</v>
          </cell>
          <cell r="D18">
            <v>1.4669999999999999</v>
          </cell>
        </row>
      </sheetData>
      <sheetData sheetId="7">
        <row r="18">
          <cell r="C18">
            <v>2.4990000000000001</v>
          </cell>
          <cell r="D18">
            <v>1.4669999999999999</v>
          </cell>
        </row>
      </sheetData>
      <sheetData sheetId="8">
        <row r="18">
          <cell r="C18">
            <v>2.5049999999999999</v>
          </cell>
          <cell r="D18">
            <v>1.4860000000000004</v>
          </cell>
        </row>
      </sheetData>
      <sheetData sheetId="9">
        <row r="18">
          <cell r="C18">
            <v>2.5099999999999989</v>
          </cell>
          <cell r="D18">
            <v>1.5109999999999995</v>
          </cell>
        </row>
      </sheetData>
      <sheetData sheetId="10">
        <row r="18">
          <cell r="C18">
            <v>2.5099999999999989</v>
          </cell>
          <cell r="D18">
            <v>1.5120000000000002</v>
          </cell>
        </row>
      </sheetData>
      <sheetData sheetId="11">
        <row r="18">
          <cell r="C18">
            <v>2.5110000000000001</v>
          </cell>
          <cell r="D18">
            <v>1.5129999999999995</v>
          </cell>
        </row>
      </sheetData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18">
          <cell r="C18">
            <v>2.5059999999999998</v>
          </cell>
          <cell r="D18">
            <v>1.5109999999999995</v>
          </cell>
        </row>
      </sheetData>
      <sheetData sheetId="1">
        <row r="18">
          <cell r="C18">
            <v>2.5089999999999999</v>
          </cell>
          <cell r="D18">
            <v>1.5360000000000003</v>
          </cell>
        </row>
      </sheetData>
      <sheetData sheetId="2">
        <row r="18">
          <cell r="C18">
            <v>2.504</v>
          </cell>
          <cell r="D18">
            <v>1.5079999999999996</v>
          </cell>
        </row>
      </sheetData>
      <sheetData sheetId="3">
        <row r="18">
          <cell r="C18">
            <v>2.496</v>
          </cell>
          <cell r="D18">
            <v>1.4639999999999997</v>
          </cell>
        </row>
      </sheetData>
      <sheetData sheetId="4">
        <row r="18">
          <cell r="C18">
            <v>2.488</v>
          </cell>
          <cell r="D18">
            <v>1.4359999999999999</v>
          </cell>
        </row>
      </sheetData>
      <sheetData sheetId="5">
        <row r="18">
          <cell r="C18">
            <v>2.4799999999999995</v>
          </cell>
          <cell r="D18">
            <v>1.3879999999999995</v>
          </cell>
        </row>
      </sheetData>
      <sheetData sheetId="6">
        <row r="18">
          <cell r="C18">
            <v>2.4840000000000009</v>
          </cell>
          <cell r="D18">
            <v>1.43</v>
          </cell>
        </row>
      </sheetData>
      <sheetData sheetId="7">
        <row r="18">
          <cell r="C18">
            <v>2.4859999999999998</v>
          </cell>
          <cell r="D18">
            <v>1.4410000000000001</v>
          </cell>
        </row>
      </sheetData>
      <sheetData sheetId="8">
        <row r="18">
          <cell r="C18">
            <v>2.4759999999999995</v>
          </cell>
          <cell r="D18">
            <v>1.4720000000000002</v>
          </cell>
        </row>
      </sheetData>
      <sheetData sheetId="9">
        <row r="18">
          <cell r="C18">
            <v>2.5159999999999991</v>
          </cell>
          <cell r="D18">
            <v>1.6290000000000004</v>
          </cell>
        </row>
      </sheetData>
      <sheetData sheetId="10">
        <row r="18">
          <cell r="C18">
            <v>2.5360000000000005</v>
          </cell>
          <cell r="D18">
            <v>1.6930000000000005</v>
          </cell>
        </row>
      </sheetData>
      <sheetData sheetId="11">
        <row r="18">
          <cell r="C18">
            <v>2.5420000000000007</v>
          </cell>
          <cell r="D18">
            <v>1.7070000000000005</v>
          </cell>
        </row>
      </sheetData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9">
          <cell r="C9">
            <v>2.5850000000000004</v>
          </cell>
          <cell r="D9">
            <v>1.9480000000000002</v>
          </cell>
        </row>
      </sheetData>
      <sheetData sheetId="1">
        <row r="9">
          <cell r="C9">
            <v>2.6030000000000002</v>
          </cell>
          <cell r="D9">
            <v>1.9819999999999998</v>
          </cell>
        </row>
      </sheetData>
      <sheetData sheetId="2">
        <row r="9">
          <cell r="C9">
            <v>2.5749999999999997</v>
          </cell>
          <cell r="D9">
            <v>1.7620000000000002</v>
          </cell>
        </row>
      </sheetData>
      <sheetData sheetId="3">
        <row r="9">
          <cell r="C9">
            <v>2.5579999999999998</v>
          </cell>
          <cell r="D9">
            <v>1.6999999999999997</v>
          </cell>
        </row>
      </sheetData>
      <sheetData sheetId="4">
        <row r="9">
          <cell r="C9">
            <v>2.544</v>
          </cell>
          <cell r="D9">
            <v>1.5679999999999998</v>
          </cell>
        </row>
      </sheetData>
      <sheetData sheetId="5">
        <row r="9">
          <cell r="C9">
            <v>2.5369999999999995</v>
          </cell>
          <cell r="D9">
            <v>1.5289999999999999</v>
          </cell>
        </row>
      </sheetData>
      <sheetData sheetId="6">
        <row r="9">
          <cell r="C9">
            <v>2.5390000000000001</v>
          </cell>
          <cell r="D9">
            <v>1.5820000000000003</v>
          </cell>
        </row>
      </sheetData>
      <sheetData sheetId="7">
        <row r="9">
          <cell r="C9">
            <v>2.5449999999999995</v>
          </cell>
          <cell r="D9">
            <v>1.5920000000000003</v>
          </cell>
        </row>
      </sheetData>
      <sheetData sheetId="8">
        <row r="9">
          <cell r="C9">
            <v>2.5479999999999996</v>
          </cell>
          <cell r="D9">
            <v>1.6060000000000001</v>
          </cell>
        </row>
      </sheetData>
      <sheetData sheetId="9">
        <row r="9">
          <cell r="C9">
            <v>2.5770000000000004</v>
          </cell>
          <cell r="D9">
            <v>1.7300000000000002</v>
          </cell>
        </row>
      </sheetData>
      <sheetData sheetId="10">
        <row r="9">
          <cell r="C9">
            <v>2.5850000000000004</v>
          </cell>
          <cell r="D9">
            <v>1.7539999999999998</v>
          </cell>
        </row>
      </sheetData>
      <sheetData sheetId="11">
        <row r="9">
          <cell r="C9">
            <v>2.593</v>
          </cell>
          <cell r="D9">
            <v>1.8130000000000002</v>
          </cell>
        </row>
      </sheetData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9">
          <cell r="C9">
            <v>2.7349999999999999</v>
          </cell>
          <cell r="D9">
            <v>1.8670000000000004</v>
          </cell>
        </row>
      </sheetData>
      <sheetData sheetId="1">
        <row r="9">
          <cell r="C9">
            <v>2.621</v>
          </cell>
          <cell r="D9">
            <v>1.9139999999999999</v>
          </cell>
        </row>
      </sheetData>
      <sheetData sheetId="2">
        <row r="9">
          <cell r="C9">
            <v>2.6669999999999994</v>
          </cell>
          <cell r="D9">
            <v>2.1939999999999995</v>
          </cell>
        </row>
      </sheetData>
      <sheetData sheetId="3">
        <row r="9">
          <cell r="C9">
            <v>2.89</v>
          </cell>
          <cell r="D9">
            <v>2.3249999999999997</v>
          </cell>
        </row>
      </sheetData>
      <sheetData sheetId="4">
        <row r="9">
          <cell r="C9">
            <v>2.8000000000000003</v>
          </cell>
          <cell r="D9">
            <v>2.25</v>
          </cell>
        </row>
      </sheetData>
      <sheetData sheetId="5">
        <row r="9">
          <cell r="C9">
            <v>2.7600000000000002</v>
          </cell>
          <cell r="D9">
            <v>1.9499999999999997</v>
          </cell>
        </row>
      </sheetData>
      <sheetData sheetId="6">
        <row r="9">
          <cell r="C9">
            <v>2.7570000000000006</v>
          </cell>
          <cell r="D9">
            <v>2.0019999999999993</v>
          </cell>
        </row>
      </sheetData>
      <sheetData sheetId="7">
        <row r="9">
          <cell r="C9">
            <v>2.7559999999999998</v>
          </cell>
          <cell r="D9">
            <v>2.0059999999999998</v>
          </cell>
        </row>
      </sheetData>
      <sheetData sheetId="8">
        <row r="9">
          <cell r="C9">
            <v>2.7330000000000001</v>
          </cell>
          <cell r="D9">
            <v>2</v>
          </cell>
        </row>
      </sheetData>
      <sheetData sheetId="9">
        <row r="9">
          <cell r="C9">
            <v>2.7450000000000006</v>
          </cell>
          <cell r="D9">
            <v>2.0070000000000001</v>
          </cell>
        </row>
      </sheetData>
      <sheetData sheetId="10">
        <row r="9">
          <cell r="C9">
            <v>2.75</v>
          </cell>
          <cell r="D9">
            <v>2.0390000000000001</v>
          </cell>
        </row>
      </sheetData>
      <sheetData sheetId="11">
        <row r="9">
          <cell r="C9">
            <v>2.7540000000000004</v>
          </cell>
          <cell r="D9">
            <v>2.0579999999999998</v>
          </cell>
        </row>
      </sheetData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9">
          <cell r="C9">
            <v>2.7429999999999994</v>
          </cell>
          <cell r="D9">
            <v>2.0339999999999994</v>
          </cell>
        </row>
      </sheetData>
      <sheetData sheetId="1">
        <row r="9">
          <cell r="C9">
            <v>2.7339999999999995</v>
          </cell>
          <cell r="D9">
            <v>1.9759999999999995</v>
          </cell>
        </row>
      </sheetData>
      <sheetData sheetId="2">
        <row r="9">
          <cell r="E9">
            <v>2.7410000000000001</v>
          </cell>
          <cell r="F9">
            <v>2.0089999999999999</v>
          </cell>
        </row>
      </sheetData>
      <sheetData sheetId="3">
        <row r="9">
          <cell r="E9">
            <v>2.7410000000000001</v>
          </cell>
          <cell r="F9">
            <v>1.9879999999999998</v>
          </cell>
        </row>
      </sheetData>
      <sheetData sheetId="4">
        <row r="9">
          <cell r="E9">
            <v>2.7349999999999999</v>
          </cell>
          <cell r="F9">
            <v>1.9650000000000001</v>
          </cell>
        </row>
      </sheetData>
      <sheetData sheetId="5">
        <row r="9">
          <cell r="E9">
            <v>2.7269999999999999</v>
          </cell>
          <cell r="F9">
            <v>1.9250000000000003</v>
          </cell>
        </row>
      </sheetData>
      <sheetData sheetId="6">
        <row r="9">
          <cell r="E9">
            <v>2.7269999999999999</v>
          </cell>
          <cell r="F9">
            <v>1.9250000000000003</v>
          </cell>
        </row>
      </sheetData>
      <sheetData sheetId="7">
        <row r="9">
          <cell r="E9">
            <v>2.7229999999999994</v>
          </cell>
          <cell r="F9">
            <v>1.881</v>
          </cell>
        </row>
      </sheetData>
      <sheetData sheetId="8">
        <row r="9">
          <cell r="E9">
            <v>2.7250000000000005</v>
          </cell>
          <cell r="F9">
            <v>1.891</v>
          </cell>
        </row>
      </sheetData>
      <sheetData sheetId="9">
        <row r="9">
          <cell r="E9">
            <v>2.7319999999999998</v>
          </cell>
          <cell r="F9">
            <v>1.8829999999999996</v>
          </cell>
        </row>
      </sheetData>
      <sheetData sheetId="10">
        <row r="9">
          <cell r="E9">
            <v>2.7480000000000007</v>
          </cell>
          <cell r="F9">
            <v>1.917</v>
          </cell>
        </row>
      </sheetData>
      <sheetData sheetId="11">
        <row r="9">
          <cell r="E9">
            <v>2.7559999999999998</v>
          </cell>
          <cell r="F9">
            <v>1.9410000000000003</v>
          </cell>
        </row>
      </sheetData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jan"/>
    </sheetNames>
    <sheetDataSet>
      <sheetData sheetId="0">
        <row r="9">
          <cell r="E9">
            <v>2.7719999999999994</v>
          </cell>
          <cell r="F9">
            <v>1.962</v>
          </cell>
        </row>
      </sheetData>
      <sheetData sheetId="1">
        <row r="9">
          <cell r="E9">
            <v>2.8889999999999998</v>
          </cell>
          <cell r="F9">
            <v>2.032</v>
          </cell>
        </row>
      </sheetData>
      <sheetData sheetId="2">
        <row r="9">
          <cell r="E9">
            <v>2.8780000000000001</v>
          </cell>
          <cell r="F9">
            <v>2.0579999999999998</v>
          </cell>
        </row>
      </sheetData>
      <sheetData sheetId="3">
        <row r="9">
          <cell r="E9">
            <v>2.875</v>
          </cell>
          <cell r="F9">
            <v>2.0790000000000002</v>
          </cell>
        </row>
      </sheetData>
      <sheetData sheetId="4">
        <row r="9">
          <cell r="E9">
            <v>2.8530000000000006</v>
          </cell>
          <cell r="F9">
            <v>1.9860000000000002</v>
          </cell>
        </row>
      </sheetData>
      <sheetData sheetId="5">
        <row r="9">
          <cell r="E9">
            <v>2.8440000000000003</v>
          </cell>
          <cell r="F9">
            <v>1.9259999999999999</v>
          </cell>
        </row>
      </sheetData>
      <sheetData sheetId="6">
        <row r="9">
          <cell r="E9">
            <v>2.84</v>
          </cell>
          <cell r="F9">
            <v>1.9179999999999997</v>
          </cell>
        </row>
      </sheetData>
      <sheetData sheetId="7">
        <row r="9">
          <cell r="E9">
            <v>2.8350000000000004</v>
          </cell>
          <cell r="F9">
            <v>1.8939999999999999</v>
          </cell>
        </row>
      </sheetData>
      <sheetData sheetId="8">
        <row r="9">
          <cell r="E9">
            <v>2.8350000000000004</v>
          </cell>
          <cell r="F9">
            <v>1.8979999999999999</v>
          </cell>
        </row>
      </sheetData>
      <sheetData sheetId="9">
        <row r="9">
          <cell r="E9">
            <v>2.8380000000000005</v>
          </cell>
          <cell r="F9">
            <v>1.9209999999999998</v>
          </cell>
        </row>
      </sheetData>
      <sheetData sheetId="10">
        <row r="9">
          <cell r="E9">
            <v>2.8490000000000002</v>
          </cell>
          <cell r="F9">
            <v>1.9450000000000001</v>
          </cell>
        </row>
      </sheetData>
      <sheetData sheetId="11">
        <row r="9">
          <cell r="E9">
            <v>2.9510000000000001</v>
          </cell>
          <cell r="F9">
            <v>2.0350000000000001</v>
          </cell>
        </row>
      </sheetData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Fracionada"/>
      <sheetName val="RESUMOa"/>
      <sheetName val="VARIAÇÃOr"/>
      <sheetName val="RESUMOr"/>
      <sheetName val="VARIAÇÃOce"/>
      <sheetName val="RESUMOce"/>
      <sheetName val="PLANCUSr"/>
      <sheetName val="PLANCUSce"/>
      <sheetName val="DAT"/>
      <sheetName val="PESOSa"/>
      <sheetName val="PESOSr"/>
      <sheetName val="PESOSdat"/>
      <sheetName val="PESOSou"/>
      <sheetName val="VEÍCULO"/>
      <sheetName val="CARROCERIA"/>
      <sheetName val="LAVAGEM"/>
      <sheetName val="PNEU"/>
      <sheetName val="RECAPAGEM"/>
      <sheetName val="RODOAR"/>
      <sheetName val="ÓLEOS"/>
      <sheetName val="media_mês"/>
      <sheetName val="media_ano"/>
      <sheetName val="media_12"/>
      <sheetName val="media_jun94"/>
      <sheetName val="OUTR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F18">
            <v>2.1772</v>
          </cell>
          <cell r="G18">
            <v>4.1980000000000004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-14"/>
      <sheetName val="fev-14"/>
      <sheetName val="mar-14"/>
      <sheetName val="abr-14"/>
      <sheetName val="mai-14"/>
      <sheetName val="jun-14"/>
      <sheetName val="jul-14"/>
      <sheetName val="ago-14"/>
      <sheetName val="set-14"/>
      <sheetName val="out-14"/>
      <sheetName val="nov-14"/>
      <sheetName val="dez-14"/>
    </sheetNames>
    <sheetDataSet>
      <sheetData sheetId="0">
        <row r="9">
          <cell r="E9">
            <v>2.956</v>
          </cell>
          <cell r="F9">
            <v>2.0500000000000003</v>
          </cell>
        </row>
      </sheetData>
      <sheetData sheetId="1">
        <row r="9">
          <cell r="E9">
            <v>2.9580000000000006</v>
          </cell>
          <cell r="F9">
            <v>2.113</v>
          </cell>
        </row>
      </sheetData>
      <sheetData sheetId="2">
        <row r="9">
          <cell r="E9">
            <v>2.9869999999999997</v>
          </cell>
          <cell r="F9">
            <v>2.1840000000000006</v>
          </cell>
        </row>
      </sheetData>
      <sheetData sheetId="3">
        <row r="9">
          <cell r="E9">
            <v>2.9869999999999997</v>
          </cell>
          <cell r="F9">
            <v>2.1840000000000006</v>
          </cell>
        </row>
      </sheetData>
      <sheetData sheetId="4">
        <row r="9">
          <cell r="E9">
            <v>2.9839999999999995</v>
          </cell>
          <cell r="F9">
            <v>2.1649999999999996</v>
          </cell>
        </row>
      </sheetData>
      <sheetData sheetId="5">
        <row r="9">
          <cell r="E9">
            <v>2.9630000000000005</v>
          </cell>
          <cell r="F9">
            <v>2.0579999999999998</v>
          </cell>
        </row>
      </sheetData>
      <sheetData sheetId="6">
        <row r="9">
          <cell r="E9">
            <v>2.9580000000000006</v>
          </cell>
          <cell r="F9">
            <v>2.0399999999999996</v>
          </cell>
        </row>
      </sheetData>
      <sheetData sheetId="7">
        <row r="9">
          <cell r="E9">
            <v>2.9620000000000002</v>
          </cell>
          <cell r="F9">
            <v>2.0089999999999999</v>
          </cell>
        </row>
      </sheetData>
      <sheetData sheetId="8">
        <row r="9">
          <cell r="E9">
            <v>2.9630000000000005</v>
          </cell>
          <cell r="F9">
            <v>2.0059999999999998</v>
          </cell>
        </row>
      </sheetData>
      <sheetData sheetId="9">
        <row r="9">
          <cell r="E9">
            <v>2.9609999999999994</v>
          </cell>
          <cell r="F9">
            <v>1.9970000000000001</v>
          </cell>
        </row>
      </sheetData>
      <sheetData sheetId="10">
        <row r="9">
          <cell r="E9">
            <v>3.0300000000000002</v>
          </cell>
          <cell r="F9">
            <v>2.028</v>
          </cell>
        </row>
      </sheetData>
      <sheetData sheetId="11">
        <row r="9">
          <cell r="E9">
            <v>3.0339999999999994</v>
          </cell>
          <cell r="F9">
            <v>2.048</v>
          </cell>
        </row>
      </sheetData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-15"/>
      <sheetName val="fev-15"/>
      <sheetName val="mar-15"/>
      <sheetName val="abr-15"/>
      <sheetName val="mai-15"/>
      <sheetName val="jun-15"/>
      <sheetName val="jul-15"/>
      <sheetName val="ago-15"/>
      <sheetName val="set-15"/>
      <sheetName val="out-15"/>
      <sheetName val="nov-15"/>
      <sheetName val="dez-15"/>
      <sheetName val="jul-14"/>
      <sheetName val="ago-14"/>
      <sheetName val="set-14"/>
      <sheetName val="out-14"/>
      <sheetName val="nov-14"/>
      <sheetName val="dez-14"/>
      <sheetName val="jun-14"/>
      <sheetName val="mai-14"/>
      <sheetName val="abr-14"/>
      <sheetName val="mar-14"/>
      <sheetName val="fev-14"/>
    </sheetNames>
    <sheetDataSet>
      <sheetData sheetId="0">
        <row r="9">
          <cell r="E9">
            <v>3.0379999999999998</v>
          </cell>
          <cell r="F9">
            <v>2.0859999999999999</v>
          </cell>
        </row>
      </sheetData>
      <sheetData sheetId="1">
        <row r="9">
          <cell r="E9">
            <v>3.323999999999999</v>
          </cell>
          <cell r="F9">
            <v>2.2400000000000002</v>
          </cell>
        </row>
      </sheetData>
      <sheetData sheetId="2">
        <row r="9">
          <cell r="E9">
            <v>3.3219999999999996</v>
          </cell>
          <cell r="F9">
            <v>2.214</v>
          </cell>
        </row>
      </sheetData>
      <sheetData sheetId="3">
        <row r="9">
          <cell r="E9">
            <v>3.3060000000000005</v>
          </cell>
          <cell r="F9">
            <v>2.1760000000000002</v>
          </cell>
        </row>
      </sheetData>
      <sheetData sheetId="4">
        <row r="9">
          <cell r="E9">
            <v>3.3030000000000004</v>
          </cell>
          <cell r="F9">
            <v>2.1339999999999999</v>
          </cell>
        </row>
      </sheetData>
      <sheetData sheetId="5">
        <row r="9">
          <cell r="E9">
            <v>3.301000000000001</v>
          </cell>
          <cell r="F9">
            <v>2.1039999999999996</v>
          </cell>
        </row>
      </sheetData>
      <sheetData sheetId="6">
        <row r="9">
          <cell r="E9">
            <v>3.302</v>
          </cell>
          <cell r="F9">
            <v>2.0850000000000004</v>
          </cell>
        </row>
      </sheetData>
      <sheetData sheetId="7">
        <row r="9">
          <cell r="E9">
            <v>3.2710000000000004</v>
          </cell>
          <cell r="F9">
            <v>2.0459999999999998</v>
          </cell>
        </row>
      </sheetData>
      <sheetData sheetId="8">
        <row r="9">
          <cell r="E9">
            <v>3.2740000000000005</v>
          </cell>
          <cell r="F9">
            <v>2.0850000000000004</v>
          </cell>
        </row>
      </sheetData>
      <sheetData sheetId="9">
        <row r="9">
          <cell r="E9">
            <v>3.4929999999999994</v>
          </cell>
          <cell r="F9">
            <v>2.4</v>
          </cell>
        </row>
      </sheetData>
      <sheetData sheetId="10">
        <row r="9">
          <cell r="E9">
            <v>3.605</v>
          </cell>
          <cell r="F9">
            <v>2.6309999999999998</v>
          </cell>
        </row>
      </sheetData>
      <sheetData sheetId="11">
        <row r="9">
          <cell r="E9">
            <v>3.6359999999999997</v>
          </cell>
          <cell r="F9">
            <v>2.6659999999999999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-16"/>
      <sheetName val="fev-16"/>
      <sheetName val="mar-16"/>
      <sheetName val="abr-16"/>
      <sheetName val="mai-16"/>
      <sheetName val="jun-16"/>
      <sheetName val="jul-16"/>
      <sheetName val="ago-16"/>
      <sheetName val="set-16"/>
      <sheetName val="out-16"/>
      <sheetName val="nov-16"/>
      <sheetName val="dez-16"/>
      <sheetName val="nov-15"/>
      <sheetName val="dez-15"/>
      <sheetName val="ago-15"/>
      <sheetName val="set-15"/>
      <sheetName val="out-15"/>
      <sheetName val="jul-15"/>
      <sheetName val="jun-15"/>
      <sheetName val="mai-15"/>
      <sheetName val="abr-15"/>
      <sheetName val="MAIO-16"/>
      <sheetName val="mar-15"/>
      <sheetName val="fev-15"/>
    </sheetNames>
    <sheetDataSet>
      <sheetData sheetId="0">
        <row r="9">
          <cell r="E9">
            <v>3.6939999999999995</v>
          </cell>
          <cell r="F9">
            <v>2.7740000000000005</v>
          </cell>
        </row>
      </sheetData>
      <sheetData sheetId="1">
        <row r="9">
          <cell r="E9">
            <v>3.7190000000000003</v>
          </cell>
          <cell r="F9">
            <v>2.831</v>
          </cell>
        </row>
      </sheetData>
      <sheetData sheetId="2">
        <row r="9">
          <cell r="E9">
            <v>3.7280000000000006</v>
          </cell>
          <cell r="F9">
            <v>2.8780000000000001</v>
          </cell>
        </row>
      </sheetData>
      <sheetData sheetId="3">
        <row r="9">
          <cell r="E9">
            <v>3.7040000000000002</v>
          </cell>
          <cell r="F9">
            <v>2.6219999999999999</v>
          </cell>
        </row>
      </sheetData>
      <sheetData sheetId="4">
        <row r="9">
          <cell r="E9">
            <v>3.6659999999999999</v>
          </cell>
          <cell r="F9">
            <v>2.4259999999999997</v>
          </cell>
        </row>
      </sheetData>
      <sheetData sheetId="5">
        <row r="9">
          <cell r="E9">
            <v>3.6409999999999991</v>
          </cell>
          <cell r="F9">
            <v>2.4740000000000002</v>
          </cell>
        </row>
      </sheetData>
      <sheetData sheetId="6">
        <row r="9">
          <cell r="E9">
            <v>3.6499999999999995</v>
          </cell>
          <cell r="F9">
            <v>2.4449999999999998</v>
          </cell>
        </row>
      </sheetData>
      <sheetData sheetId="7">
        <row r="9">
          <cell r="E9">
            <v>3.6439999999999992</v>
          </cell>
          <cell r="F9">
            <v>2.4809999999999994</v>
          </cell>
        </row>
      </sheetData>
      <sheetData sheetId="8">
        <row r="9">
          <cell r="E9">
            <v>3.6499999999999995</v>
          </cell>
          <cell r="F9">
            <v>2.5539999999999998</v>
          </cell>
        </row>
      </sheetData>
      <sheetData sheetId="9">
        <row r="9">
          <cell r="E9">
            <v>3.669</v>
          </cell>
          <cell r="F9">
            <v>2.7600000000000002</v>
          </cell>
        </row>
      </sheetData>
      <sheetData sheetId="10">
        <row r="9">
          <cell r="E9">
            <v>3.6649999999999996</v>
          </cell>
          <cell r="F9">
            <v>2.8159999999999994</v>
          </cell>
        </row>
      </sheetData>
      <sheetData sheetId="11">
        <row r="9">
          <cell r="E9">
            <v>3.7549999999999994</v>
          </cell>
          <cell r="F9">
            <v>2.8440000000000003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olina"/>
      <sheetName val="Etanol"/>
    </sheetNames>
    <sheetDataSet>
      <sheetData sheetId="0">
        <row r="197">
          <cell r="A197" t="str">
            <v>NOVEMBRO|15</v>
          </cell>
        </row>
        <row r="198">
          <cell r="A198" t="str">
            <v>DEZEMBRO|15</v>
          </cell>
        </row>
        <row r="199">
          <cell r="A199" t="str">
            <v>JANEIRO|16</v>
          </cell>
        </row>
        <row r="200">
          <cell r="A200" t="str">
            <v>FEVEREIRO|16</v>
          </cell>
        </row>
        <row r="201">
          <cell r="A201" t="str">
            <v>MARÇO|16</v>
          </cell>
        </row>
        <row r="202">
          <cell r="A202" t="str">
            <v>ABRIL|16</v>
          </cell>
        </row>
        <row r="203">
          <cell r="A203" t="str">
            <v>MAIO|16</v>
          </cell>
        </row>
        <row r="204">
          <cell r="A204" t="str">
            <v>JUNHO|16</v>
          </cell>
        </row>
        <row r="205">
          <cell r="A205" t="str">
            <v>JULHO|16</v>
          </cell>
        </row>
        <row r="206">
          <cell r="A206" t="str">
            <v>AGOSTO|16</v>
          </cell>
        </row>
        <row r="207">
          <cell r="A207" t="str">
            <v>SETEMBRO|16</v>
          </cell>
        </row>
        <row r="208">
          <cell r="A208" t="str">
            <v>OUTUBRO|16</v>
          </cell>
        </row>
        <row r="209">
          <cell r="A209" t="str">
            <v>NOVEMBRO|16</v>
          </cell>
        </row>
        <row r="210">
          <cell r="A210" t="str">
            <v>DEZEMBRO|16</v>
          </cell>
        </row>
        <row r="211">
          <cell r="A211" t="str">
            <v>JANEIRO|17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Q183"/>
  <sheetViews>
    <sheetView showGridLines="0" tabSelected="1" zoomScaleNormal="100" workbookViewId="0">
      <selection activeCell="G9" sqref="G9"/>
    </sheetView>
  </sheetViews>
  <sheetFormatPr defaultRowHeight="19.5" x14ac:dyDescent="0.2"/>
  <cols>
    <col min="1" max="1" width="2.44140625" style="108" customWidth="1"/>
    <col min="2" max="2" width="13.77734375" style="108" customWidth="1"/>
    <col min="3" max="3" width="12.44140625" style="108" customWidth="1"/>
    <col min="4" max="4" width="14.21875" style="108" customWidth="1"/>
    <col min="5" max="6" width="13.77734375" style="108" customWidth="1"/>
    <col min="7" max="7" width="19.6640625" style="233" customWidth="1"/>
    <col min="8" max="8" width="12.44140625" style="108" customWidth="1"/>
    <col min="9" max="9" width="10.77734375" style="108" customWidth="1"/>
    <col min="10" max="16384" width="8.88671875" style="108"/>
  </cols>
  <sheetData>
    <row r="1" spans="1:17" s="85" customFormat="1" ht="66" customHeight="1" thickBot="1" x14ac:dyDescent="0.25">
      <c r="B1" s="232" t="s">
        <v>299</v>
      </c>
      <c r="C1" s="232"/>
      <c r="D1" s="232"/>
      <c r="E1" s="232"/>
      <c r="F1" s="232"/>
      <c r="G1" s="117" t="s">
        <v>300</v>
      </c>
      <c r="H1" s="86"/>
      <c r="I1" s="86"/>
      <c r="J1" s="87"/>
      <c r="K1" s="87"/>
      <c r="L1" s="88"/>
      <c r="M1" s="88"/>
      <c r="N1" s="86"/>
      <c r="O1" s="89"/>
      <c r="P1" s="90"/>
      <c r="Q1" s="90"/>
    </row>
    <row r="2" spans="1:17" ht="15" customHeight="1" thickTop="1" x14ac:dyDescent="0.2">
      <c r="B2" s="94"/>
      <c r="C2" s="94"/>
      <c r="D2" s="110"/>
      <c r="E2" s="110"/>
      <c r="F2" s="110"/>
      <c r="G2" s="118"/>
      <c r="H2" s="127"/>
      <c r="I2" s="128" t="str">
        <f>CONCATENATE(G1," ",H3," ","- ",I3)</f>
        <v>VARIAÇÃO DOS INSUMOS DE TRANSPORTES (%) ABRIL|17 - ABRIL|18</v>
      </c>
      <c r="J2" s="91"/>
      <c r="K2" s="91"/>
      <c r="L2" s="92"/>
      <c r="M2" s="92"/>
      <c r="N2" s="92"/>
    </row>
    <row r="3" spans="1:17" ht="15" customHeight="1" x14ac:dyDescent="0.2">
      <c r="A3" s="111"/>
      <c r="B3" s="126"/>
      <c r="C3" s="126"/>
      <c r="D3" s="112"/>
      <c r="E3" s="112"/>
      <c r="F3" s="110"/>
      <c r="G3" s="119" t="s">
        <v>284</v>
      </c>
      <c r="H3" s="129" t="str">
        <f>UPPER(C8)</f>
        <v>ABRIL|17</v>
      </c>
      <c r="I3" s="129" t="str">
        <f>UPPER(C9)</f>
        <v>ABRIL|18</v>
      </c>
      <c r="J3" s="93"/>
      <c r="K3" s="93"/>
      <c r="L3" s="92"/>
      <c r="M3" s="92"/>
      <c r="N3" s="92"/>
    </row>
    <row r="4" spans="1:17" ht="15" customHeight="1" x14ac:dyDescent="0.2">
      <c r="A4" s="111"/>
      <c r="B4" s="126"/>
      <c r="C4" s="126"/>
      <c r="D4" s="112"/>
      <c r="E4" s="112"/>
      <c r="F4" s="110"/>
      <c r="G4" s="120" t="s">
        <v>2</v>
      </c>
      <c r="H4" s="130">
        <f>IF(B9&lt;B8,"0,00%",-1+VLOOKUP($C$9,Diesel_S500!$B$8:$D$361,3,0)/VLOOKUP($C$8,Diesel_S500!$B$8:$D$361,3,0))</f>
        <v>0.13213811420982746</v>
      </c>
      <c r="I4" s="130"/>
      <c r="J4" s="93"/>
      <c r="K4" s="93"/>
      <c r="L4" s="94"/>
      <c r="M4" s="94"/>
      <c r="N4" s="92"/>
    </row>
    <row r="5" spans="1:17" ht="15" customHeight="1" x14ac:dyDescent="0.2">
      <c r="A5" s="111"/>
      <c r="B5" s="95">
        <v>1</v>
      </c>
      <c r="C5" s="126"/>
      <c r="D5" s="112"/>
      <c r="E5" s="112"/>
      <c r="F5" s="96">
        <v>3</v>
      </c>
      <c r="G5" s="120" t="s">
        <v>285</v>
      </c>
      <c r="H5" s="130">
        <f>IF(B9&lt;B8,"0,00%",-1+VLOOKUP($C$9,Diesel_S10!$A$8:$C$328,3,0)/VLOOKUP($C$8,Diesel_S10!$A$8:$C$328,3,0))</f>
        <v>0.10875079264426146</v>
      </c>
      <c r="I5" s="130"/>
      <c r="J5" s="93"/>
      <c r="K5" s="97"/>
      <c r="L5" s="94">
        <v>1</v>
      </c>
      <c r="M5" s="94" t="s">
        <v>279</v>
      </c>
      <c r="N5" s="92"/>
    </row>
    <row r="6" spans="1:17" ht="28.5" customHeight="1" x14ac:dyDescent="0.2">
      <c r="B6" s="94"/>
      <c r="C6" s="94"/>
      <c r="D6" s="110"/>
      <c r="E6" s="110"/>
      <c r="F6" s="110"/>
      <c r="G6" s="120" t="s">
        <v>272</v>
      </c>
      <c r="H6" s="130">
        <f>IF(B9&lt;B8,"0,00%",-1+VLOOKUP($C$9,ARLA_32!$A$8:$C$197,3,0)/VLOOKUP($C$8,ARLA_32!$A$8:$C$197,3,0))</f>
        <v>-0.23733184637903404</v>
      </c>
      <c r="I6" s="130"/>
      <c r="J6" s="93"/>
      <c r="K6" s="93"/>
      <c r="L6" s="94">
        <v>2</v>
      </c>
      <c r="M6" s="94" t="s">
        <v>280</v>
      </c>
      <c r="N6" s="92"/>
    </row>
    <row r="7" spans="1:17" ht="14.25" customHeight="1" x14ac:dyDescent="0.2">
      <c r="B7" s="94" t="s">
        <v>302</v>
      </c>
      <c r="C7" s="94"/>
      <c r="E7" s="234"/>
      <c r="F7" s="235" t="s">
        <v>301</v>
      </c>
      <c r="G7" s="120" t="s">
        <v>274</v>
      </c>
      <c r="H7" s="130">
        <f>IF(B9&lt;B8,"0,00%",-1+VLOOKUP($C$9,Gasolina!$A$7:$C$346,3,0)/VLOOKUP($C$8,Gasolina!$A$7:$C$346,3,0))</f>
        <v>0.16050744622173196</v>
      </c>
      <c r="I7" s="130"/>
      <c r="J7" s="91"/>
      <c r="K7" s="93"/>
      <c r="L7" s="94">
        <v>3</v>
      </c>
      <c r="M7" s="94" t="s">
        <v>281</v>
      </c>
      <c r="N7" s="92"/>
    </row>
    <row r="8" spans="1:17" ht="14.25" customHeight="1" x14ac:dyDescent="0.2">
      <c r="B8" s="98">
        <v>274</v>
      </c>
      <c r="C8" s="125" t="str">
        <f>VLOOKUP($B$8,[1]Diesel_S500!$A$8:$D$371,2,0)</f>
        <v>ABRIL|17</v>
      </c>
      <c r="D8" s="110"/>
      <c r="E8" s="110"/>
      <c r="G8" s="120" t="s">
        <v>278</v>
      </c>
      <c r="H8" s="130">
        <f>IF(B9&lt;B8,"0,00%",-1+VLOOKUP($C$9,Etanol!$A$7:$C$316,3,0)/VLOOKUP($C$8,Etanol!$A$7:$C$316,3,0))</f>
        <v>0.15449330783938819</v>
      </c>
      <c r="I8" s="130" t="str">
        <f>UPPER(G1)</f>
        <v>VARIAÇÃO DOS INSUMOS DE TRANSPORTES (%)</v>
      </c>
      <c r="J8" s="91"/>
      <c r="K8" s="91"/>
      <c r="L8" s="94">
        <v>4</v>
      </c>
      <c r="M8" s="94" t="s">
        <v>282</v>
      </c>
      <c r="N8" s="92"/>
    </row>
    <row r="9" spans="1:17" ht="14.25" customHeight="1" x14ac:dyDescent="0.2">
      <c r="B9" s="98">
        <v>286</v>
      </c>
      <c r="C9" s="125" t="str">
        <f>VLOOKUP($B$9,Diesel_S500!$A$8:$D$402,2,0)</f>
        <v>ABRIL|18</v>
      </c>
      <c r="D9" s="112"/>
      <c r="E9" s="112"/>
      <c r="G9" s="118"/>
      <c r="H9" s="91"/>
      <c r="I9" s="91"/>
      <c r="J9" s="91"/>
      <c r="K9" s="91"/>
      <c r="L9" s="94">
        <v>5</v>
      </c>
      <c r="M9" s="94" t="s">
        <v>283</v>
      </c>
      <c r="N9" s="92"/>
    </row>
    <row r="10" spans="1:17" ht="11.25" customHeight="1" x14ac:dyDescent="0.2">
      <c r="B10" s="98">
        <f>B9-B8</f>
        <v>12</v>
      </c>
      <c r="C10" s="126"/>
      <c r="D10" s="111"/>
      <c r="E10" s="111"/>
      <c r="F10" s="236"/>
      <c r="G10" s="118"/>
      <c r="H10" s="91"/>
      <c r="I10" s="91"/>
      <c r="J10" s="91"/>
      <c r="K10" s="91"/>
      <c r="L10" s="94"/>
      <c r="M10" s="94"/>
      <c r="N10" s="92"/>
    </row>
    <row r="11" spans="1:17" ht="15" customHeight="1" x14ac:dyDescent="0.2">
      <c r="B11" s="92"/>
      <c r="C11" s="241"/>
      <c r="E11" s="111"/>
      <c r="G11" s="118"/>
      <c r="H11" s="91"/>
      <c r="I11" s="91"/>
      <c r="J11" s="91"/>
      <c r="K11" s="99"/>
      <c r="L11" s="94"/>
      <c r="M11" s="94"/>
      <c r="N11" s="92"/>
    </row>
    <row r="12" spans="1:17" x14ac:dyDescent="0.2">
      <c r="B12" s="92"/>
      <c r="C12" s="241"/>
      <c r="D12" s="113">
        <f>IF(B9&lt;=B8,"PERÍODO NÃO ACEITO",IF($B$5=1,-1+VLOOKUP($C$9,Diesel_S500!$B$8:$D$376,3,0)/VLOOKUP($C$8,Diesel_S500!$B$8:$D$376,3,0),IF($B$5=2,-1+VLOOKUP($C$9,Diesel_S10!$A$8:$C$368,3,0)/VLOOKUP($C$8,Diesel_S10!$A$8:$C$368,3,0),IF($B$5=3,-1+VLOOKUP($C$9,ARLA_32!$A$8:$C$197,3,0)/VLOOKUP($C$8,ARLA_32!$A$8:$C$197,3,0),IF($B$5=4,-1+VLOOKUP($C$9,Gasolina!$A$7:$C$366,3,0)/VLOOKUP($C$8,Gasolina!$A$7:$C$366,3,0),IF($B$5=5,-1+VLOOKUP($C$9,Etanol!$A$7:$C$366,3,0)/VLOOKUP($C$8,Etanol!$A$7:$C$366,3,0)))))))</f>
        <v>0.13213811420982746</v>
      </c>
      <c r="E12" s="111"/>
      <c r="G12" s="118"/>
      <c r="H12" s="91"/>
      <c r="I12" s="91"/>
      <c r="J12" s="91"/>
      <c r="K12" s="91"/>
      <c r="L12" s="92"/>
      <c r="M12" s="92"/>
      <c r="N12" s="92"/>
    </row>
    <row r="13" spans="1:17" ht="16.5" customHeight="1" x14ac:dyDescent="0.2">
      <c r="B13" s="92"/>
      <c r="C13" s="92"/>
      <c r="E13" s="109"/>
      <c r="F13" s="109"/>
      <c r="G13" s="100"/>
      <c r="H13" s="92"/>
      <c r="I13" s="92"/>
      <c r="J13" s="92"/>
      <c r="K13" s="92"/>
      <c r="L13" s="92"/>
      <c r="M13" s="92"/>
      <c r="N13" s="92"/>
    </row>
    <row r="14" spans="1:17" ht="15" customHeight="1" x14ac:dyDescent="0.2">
      <c r="E14" s="109"/>
      <c r="F14" s="109"/>
      <c r="G14" s="100"/>
      <c r="H14" s="92"/>
      <c r="I14" s="92"/>
      <c r="J14" s="92"/>
      <c r="K14" s="92"/>
      <c r="L14" s="92"/>
      <c r="M14" s="92"/>
      <c r="N14" s="92"/>
    </row>
    <row r="15" spans="1:17" ht="15" customHeight="1" x14ac:dyDescent="0.2">
      <c r="E15" s="109"/>
      <c r="F15" s="109"/>
      <c r="G15" s="100"/>
      <c r="H15" s="92"/>
      <c r="I15" s="92"/>
      <c r="J15" s="92"/>
      <c r="K15" s="92"/>
      <c r="L15" s="92"/>
      <c r="M15" s="92"/>
      <c r="N15" s="92"/>
    </row>
    <row r="16" spans="1:17" ht="15" customHeight="1" x14ac:dyDescent="0.2">
      <c r="E16" s="109"/>
      <c r="F16" s="109"/>
      <c r="G16" s="100"/>
      <c r="H16" s="92"/>
      <c r="I16" s="92"/>
      <c r="J16" s="92"/>
      <c r="K16" s="92"/>
      <c r="L16" s="92"/>
      <c r="M16" s="92"/>
      <c r="N16" s="92"/>
    </row>
    <row r="17" spans="2:14" ht="15" customHeight="1" x14ac:dyDescent="0.2">
      <c r="E17" s="109"/>
      <c r="F17" s="109"/>
      <c r="G17" s="100"/>
      <c r="H17" s="92"/>
      <c r="I17" s="92"/>
      <c r="J17" s="92"/>
      <c r="K17" s="92"/>
      <c r="L17" s="92"/>
      <c r="M17" s="92"/>
      <c r="N17" s="92"/>
    </row>
    <row r="18" spans="2:14" ht="15" customHeight="1" x14ac:dyDescent="0.2">
      <c r="E18" s="109"/>
      <c r="F18" s="109"/>
      <c r="G18" s="100"/>
      <c r="H18" s="92"/>
      <c r="I18" s="92"/>
      <c r="J18" s="92"/>
      <c r="K18" s="92"/>
      <c r="L18" s="92"/>
      <c r="M18" s="92"/>
      <c r="N18" s="92"/>
    </row>
    <row r="19" spans="2:14" ht="15" customHeight="1" x14ac:dyDescent="0.2">
      <c r="E19" s="109"/>
      <c r="F19" s="109"/>
      <c r="G19" s="100"/>
      <c r="H19" s="92"/>
      <c r="I19" s="92"/>
      <c r="J19" s="92"/>
      <c r="K19" s="100"/>
      <c r="L19" s="100"/>
      <c r="M19" s="100"/>
      <c r="N19" s="92"/>
    </row>
    <row r="20" spans="2:14" ht="15" customHeight="1" x14ac:dyDescent="0.2">
      <c r="E20" s="109"/>
      <c r="F20" s="109"/>
      <c r="G20" s="100"/>
      <c r="H20" s="92"/>
      <c r="I20" s="92"/>
      <c r="J20" s="92"/>
      <c r="K20" s="101"/>
      <c r="L20" s="115"/>
      <c r="M20" s="100"/>
      <c r="N20" s="92"/>
    </row>
    <row r="21" spans="2:14" ht="15" customHeight="1" x14ac:dyDescent="0.2">
      <c r="E21" s="109"/>
      <c r="F21" s="109"/>
      <c r="G21" s="100"/>
      <c r="H21" s="92"/>
      <c r="I21" s="92"/>
      <c r="J21" s="92"/>
      <c r="K21" s="101"/>
      <c r="L21" s="115"/>
      <c r="M21" s="100"/>
      <c r="N21" s="92"/>
    </row>
    <row r="22" spans="2:14" ht="15" customHeight="1" x14ac:dyDescent="0.2">
      <c r="E22" s="109"/>
      <c r="F22" s="109"/>
      <c r="G22" s="100"/>
      <c r="H22" s="92"/>
      <c r="I22" s="92"/>
      <c r="J22" s="92"/>
      <c r="K22" s="100"/>
      <c r="L22" s="100"/>
      <c r="M22" s="100"/>
      <c r="N22" s="92"/>
    </row>
    <row r="23" spans="2:14" ht="15" customHeight="1" x14ac:dyDescent="0.2">
      <c r="E23" s="109"/>
      <c r="F23" s="109"/>
      <c r="G23" s="100"/>
      <c r="H23" s="92"/>
      <c r="I23" s="92"/>
      <c r="J23" s="92"/>
      <c r="K23" s="92"/>
      <c r="L23" s="92"/>
      <c r="M23" s="92"/>
      <c r="N23" s="92"/>
    </row>
    <row r="24" spans="2:14" ht="15.75" customHeight="1" x14ac:dyDescent="0.2">
      <c r="G24" s="118"/>
      <c r="H24" s="92"/>
      <c r="I24" s="92"/>
      <c r="J24" s="92"/>
      <c r="K24" s="92"/>
      <c r="L24" s="92"/>
      <c r="M24" s="92"/>
      <c r="N24" s="92"/>
    </row>
    <row r="25" spans="2:14" ht="15" customHeight="1" x14ac:dyDescent="0.2">
      <c r="G25" s="118"/>
      <c r="H25" s="92"/>
      <c r="I25" s="92"/>
      <c r="J25" s="92"/>
      <c r="K25" s="92"/>
      <c r="L25" s="92"/>
      <c r="M25" s="92"/>
      <c r="N25" s="92"/>
    </row>
    <row r="26" spans="2:14" ht="15" customHeight="1" x14ac:dyDescent="0.25">
      <c r="B26" s="237" t="s">
        <v>298</v>
      </c>
      <c r="C26" s="237"/>
      <c r="D26" s="237"/>
      <c r="E26" s="237"/>
      <c r="G26" s="118"/>
      <c r="H26" s="92"/>
      <c r="I26" s="92"/>
      <c r="J26" s="92"/>
      <c r="K26" s="92"/>
      <c r="L26" s="92"/>
      <c r="M26" s="92"/>
      <c r="N26" s="92"/>
    </row>
    <row r="27" spans="2:14" ht="15" customHeight="1" x14ac:dyDescent="0.2">
      <c r="G27" s="118"/>
      <c r="H27" s="92"/>
      <c r="I27" s="92"/>
      <c r="J27" s="92"/>
      <c r="K27" s="92"/>
      <c r="L27" s="92"/>
      <c r="M27" s="92"/>
      <c r="N27" s="92"/>
    </row>
    <row r="28" spans="2:14" ht="15" customHeight="1" x14ac:dyDescent="0.2">
      <c r="G28" s="116"/>
      <c r="H28" s="116"/>
      <c r="I28" s="92"/>
      <c r="J28" s="92"/>
      <c r="K28" s="92"/>
      <c r="L28" s="92"/>
      <c r="M28" s="92"/>
      <c r="N28" s="92"/>
    </row>
    <row r="29" spans="2:14" ht="15" customHeight="1" x14ac:dyDescent="0.2">
      <c r="G29" s="118"/>
      <c r="H29" s="92"/>
      <c r="I29" s="92"/>
      <c r="J29" s="92"/>
      <c r="K29" s="92"/>
      <c r="L29" s="92"/>
      <c r="M29" s="92"/>
      <c r="N29" s="92"/>
    </row>
    <row r="30" spans="2:14" ht="19.5" customHeight="1" x14ac:dyDescent="0.2">
      <c r="E30" s="239"/>
      <c r="G30" s="118"/>
      <c r="H30" s="92"/>
      <c r="I30" s="92"/>
      <c r="J30" s="92"/>
      <c r="K30" s="92"/>
      <c r="L30" s="92"/>
      <c r="M30" s="92"/>
      <c r="N30" s="92"/>
    </row>
    <row r="31" spans="2:14" ht="15" customHeight="1" x14ac:dyDescent="0.2">
      <c r="B31" s="238" t="s">
        <v>307</v>
      </c>
      <c r="C31" s="238"/>
      <c r="D31" s="238"/>
      <c r="E31" s="238"/>
      <c r="F31" s="240" t="s">
        <v>308</v>
      </c>
      <c r="G31" s="118"/>
      <c r="H31" s="92"/>
      <c r="I31" s="92"/>
      <c r="J31" s="92"/>
      <c r="K31" s="92"/>
      <c r="L31" s="92"/>
      <c r="M31" s="92"/>
      <c r="N31" s="92"/>
    </row>
    <row r="32" spans="2:14" ht="8.25" customHeight="1" x14ac:dyDescent="0.2">
      <c r="B32" s="114"/>
      <c r="G32" s="118"/>
      <c r="H32" s="92"/>
      <c r="I32" s="92"/>
      <c r="J32" s="92"/>
      <c r="K32" s="92"/>
      <c r="L32" s="92"/>
      <c r="M32" s="92"/>
      <c r="N32" s="92"/>
    </row>
    <row r="33" spans="2:14" ht="15" customHeight="1" x14ac:dyDescent="0.2">
      <c r="B33" s="102" t="s">
        <v>303</v>
      </c>
      <c r="G33" s="118"/>
      <c r="H33" s="92"/>
      <c r="I33" s="92"/>
      <c r="J33" s="92"/>
      <c r="K33" s="92"/>
      <c r="L33" s="92"/>
      <c r="M33" s="92"/>
      <c r="N33" s="92"/>
    </row>
    <row r="34" spans="2:14" ht="15" customHeight="1" x14ac:dyDescent="0.2">
      <c r="B34" s="103" t="s">
        <v>304</v>
      </c>
      <c r="G34" s="118"/>
      <c r="H34" s="92"/>
      <c r="I34" s="92"/>
      <c r="J34" s="92"/>
      <c r="K34" s="92"/>
      <c r="L34" s="92"/>
      <c r="M34" s="92"/>
      <c r="N34" s="92"/>
    </row>
    <row r="35" spans="2:14" ht="15" customHeight="1" x14ac:dyDescent="0.2">
      <c r="B35" s="103" t="s">
        <v>305</v>
      </c>
      <c r="G35" s="118"/>
      <c r="H35" s="92"/>
      <c r="I35" s="92"/>
      <c r="J35" s="92"/>
      <c r="K35" s="92"/>
      <c r="L35" s="92"/>
      <c r="M35" s="92"/>
      <c r="N35" s="92"/>
    </row>
    <row r="36" spans="2:14" ht="15" customHeight="1" x14ac:dyDescent="0.2">
      <c r="B36" s="103" t="s">
        <v>306</v>
      </c>
      <c r="G36" s="118"/>
      <c r="H36" s="92"/>
      <c r="I36" s="92"/>
      <c r="J36" s="92"/>
      <c r="K36" s="92"/>
      <c r="L36" s="92"/>
      <c r="M36" s="92"/>
      <c r="N36" s="92"/>
    </row>
    <row r="37" spans="2:14" ht="15" customHeight="1" x14ac:dyDescent="0.2">
      <c r="G37" s="118"/>
      <c r="H37" s="92"/>
      <c r="I37" s="92"/>
      <c r="J37" s="92"/>
      <c r="K37" s="92"/>
      <c r="L37" s="92"/>
      <c r="M37" s="92"/>
      <c r="N37" s="92"/>
    </row>
    <row r="38" spans="2:14" ht="15" customHeight="1" x14ac:dyDescent="0.2">
      <c r="G38" s="118"/>
      <c r="H38" s="92"/>
      <c r="I38" s="92"/>
      <c r="J38" s="92"/>
      <c r="K38" s="92"/>
      <c r="L38" s="92"/>
      <c r="M38" s="92"/>
      <c r="N38" s="92"/>
    </row>
    <row r="39" spans="2:14" ht="15" customHeight="1" x14ac:dyDescent="0.2">
      <c r="G39" s="118"/>
      <c r="H39" s="92"/>
      <c r="I39" s="92"/>
      <c r="J39" s="92"/>
      <c r="K39" s="92"/>
      <c r="L39" s="92"/>
      <c r="M39" s="92"/>
      <c r="N39" s="92"/>
    </row>
    <row r="40" spans="2:14" ht="15" customHeight="1" x14ac:dyDescent="0.2">
      <c r="G40" s="118"/>
      <c r="H40" s="92"/>
      <c r="I40" s="92"/>
      <c r="J40" s="92"/>
      <c r="K40" s="92"/>
      <c r="L40" s="92"/>
      <c r="M40" s="92"/>
      <c r="N40" s="92"/>
    </row>
    <row r="41" spans="2:14" ht="15" customHeight="1" x14ac:dyDescent="0.2">
      <c r="G41" s="118"/>
      <c r="H41" s="92"/>
      <c r="I41" s="92"/>
      <c r="J41" s="92"/>
      <c r="K41" s="92"/>
      <c r="L41" s="92"/>
      <c r="M41" s="92"/>
      <c r="N41" s="92"/>
    </row>
    <row r="42" spans="2:14" ht="15" customHeight="1" x14ac:dyDescent="0.2">
      <c r="G42" s="118"/>
      <c r="H42" s="92"/>
      <c r="I42" s="92"/>
      <c r="J42" s="92"/>
      <c r="K42" s="92"/>
      <c r="L42" s="92"/>
      <c r="M42" s="92"/>
      <c r="N42" s="92"/>
    </row>
    <row r="43" spans="2:14" ht="15" customHeight="1" x14ac:dyDescent="0.2">
      <c r="G43" s="118"/>
      <c r="H43" s="92"/>
      <c r="I43" s="92"/>
      <c r="J43" s="92"/>
      <c r="K43" s="92"/>
      <c r="L43" s="92"/>
      <c r="M43" s="92"/>
      <c r="N43" s="92"/>
    </row>
    <row r="44" spans="2:14" ht="15" customHeight="1" x14ac:dyDescent="0.2">
      <c r="G44" s="118"/>
      <c r="H44" s="92"/>
      <c r="I44" s="92"/>
      <c r="J44" s="92"/>
      <c r="K44" s="92"/>
      <c r="L44" s="92"/>
      <c r="M44" s="92"/>
      <c r="N44" s="92"/>
    </row>
    <row r="45" spans="2:14" ht="15" customHeight="1" x14ac:dyDescent="0.2">
      <c r="G45" s="118"/>
      <c r="H45" s="92"/>
      <c r="I45" s="92"/>
      <c r="J45" s="92"/>
      <c r="K45" s="92"/>
      <c r="L45" s="92"/>
      <c r="M45" s="92"/>
      <c r="N45" s="92"/>
    </row>
    <row r="46" spans="2:14" ht="15" customHeight="1" x14ac:dyDescent="0.2">
      <c r="G46" s="118"/>
      <c r="H46" s="92"/>
      <c r="I46" s="92"/>
      <c r="J46" s="92"/>
      <c r="K46" s="92"/>
      <c r="L46" s="92"/>
      <c r="M46" s="92"/>
      <c r="N46" s="92"/>
    </row>
    <row r="47" spans="2:14" ht="15" customHeight="1" x14ac:dyDescent="0.2">
      <c r="B47" s="109"/>
      <c r="G47" s="118"/>
      <c r="H47" s="92"/>
      <c r="I47" s="92"/>
      <c r="J47" s="92"/>
      <c r="K47" s="92"/>
      <c r="L47" s="92"/>
      <c r="M47" s="92"/>
      <c r="N47" s="92"/>
    </row>
    <row r="48" spans="2:14" ht="15" customHeight="1" x14ac:dyDescent="0.2">
      <c r="B48" s="109"/>
      <c r="G48" s="118"/>
      <c r="H48" s="92"/>
      <c r="I48" s="92"/>
      <c r="J48" s="92"/>
      <c r="K48" s="92"/>
      <c r="L48" s="92"/>
      <c r="M48" s="92"/>
      <c r="N48" s="92"/>
    </row>
    <row r="49" spans="3:14" ht="15" customHeight="1" x14ac:dyDescent="0.2">
      <c r="C49" s="109"/>
      <c r="D49" s="109"/>
      <c r="E49" s="109"/>
      <c r="G49" s="118"/>
      <c r="H49" s="92"/>
      <c r="I49" s="92"/>
      <c r="J49" s="92"/>
      <c r="K49" s="92"/>
      <c r="L49" s="92"/>
      <c r="M49" s="92"/>
      <c r="N49" s="92"/>
    </row>
    <row r="50" spans="3:14" ht="15" customHeight="1" x14ac:dyDescent="0.2">
      <c r="C50" s="109"/>
      <c r="D50" s="109"/>
      <c r="E50" s="109"/>
      <c r="G50" s="118"/>
      <c r="H50" s="92"/>
      <c r="I50" s="92"/>
      <c r="J50" s="92"/>
      <c r="K50" s="92"/>
      <c r="L50" s="92"/>
      <c r="M50" s="92"/>
      <c r="N50" s="92"/>
    </row>
    <row r="51" spans="3:14" ht="15" customHeight="1" x14ac:dyDescent="0.2">
      <c r="G51" s="118"/>
      <c r="H51" s="92"/>
      <c r="I51" s="92"/>
      <c r="J51" s="92"/>
      <c r="K51" s="92"/>
      <c r="L51" s="92"/>
      <c r="M51" s="92"/>
      <c r="N51" s="92"/>
    </row>
    <row r="52" spans="3:14" ht="15" customHeight="1" x14ac:dyDescent="0.2">
      <c r="G52" s="118"/>
      <c r="H52" s="92"/>
      <c r="I52" s="92"/>
      <c r="J52" s="92"/>
      <c r="K52" s="92"/>
      <c r="L52" s="92"/>
      <c r="M52" s="92"/>
      <c r="N52" s="92"/>
    </row>
    <row r="53" spans="3:14" ht="15" customHeight="1" x14ac:dyDescent="0.2">
      <c r="G53" s="118"/>
      <c r="H53" s="92"/>
      <c r="I53" s="92"/>
      <c r="J53" s="92"/>
      <c r="K53" s="92"/>
      <c r="L53" s="92"/>
      <c r="M53" s="92"/>
      <c r="N53" s="92"/>
    </row>
    <row r="54" spans="3:14" ht="15" customHeight="1" x14ac:dyDescent="0.2">
      <c r="G54" s="118"/>
      <c r="H54" s="92"/>
      <c r="I54" s="92"/>
      <c r="J54" s="92"/>
      <c r="K54" s="92"/>
      <c r="L54" s="92"/>
      <c r="M54" s="92"/>
      <c r="N54" s="92"/>
    </row>
    <row r="55" spans="3:14" ht="15" customHeight="1" x14ac:dyDescent="0.2">
      <c r="G55" s="118"/>
      <c r="H55" s="92"/>
      <c r="I55" s="92"/>
      <c r="J55" s="92"/>
      <c r="K55" s="92"/>
      <c r="L55" s="92"/>
      <c r="M55" s="92"/>
      <c r="N55" s="92"/>
    </row>
    <row r="56" spans="3:14" ht="15" customHeight="1" x14ac:dyDescent="0.2">
      <c r="G56" s="118"/>
      <c r="H56" s="92"/>
      <c r="I56" s="92"/>
      <c r="J56" s="92"/>
      <c r="K56" s="92"/>
      <c r="L56" s="92"/>
      <c r="M56" s="92"/>
      <c r="N56" s="92"/>
    </row>
    <row r="57" spans="3:14" ht="15" customHeight="1" x14ac:dyDescent="0.2">
      <c r="G57" s="118"/>
      <c r="H57" s="92"/>
      <c r="I57" s="92"/>
      <c r="J57" s="92"/>
      <c r="K57" s="92"/>
      <c r="L57" s="92"/>
      <c r="M57" s="92"/>
      <c r="N57" s="92"/>
    </row>
    <row r="58" spans="3:14" ht="15" customHeight="1" x14ac:dyDescent="0.2">
      <c r="G58" s="118"/>
      <c r="H58" s="92"/>
      <c r="I58" s="92"/>
      <c r="J58" s="92"/>
      <c r="K58" s="92"/>
      <c r="L58" s="92"/>
      <c r="M58" s="92"/>
      <c r="N58" s="92"/>
    </row>
    <row r="59" spans="3:14" ht="15" customHeight="1" x14ac:dyDescent="0.2">
      <c r="G59" s="118"/>
      <c r="H59" s="92"/>
      <c r="I59" s="92"/>
      <c r="J59" s="92"/>
      <c r="K59" s="92"/>
      <c r="L59" s="92"/>
      <c r="M59" s="92"/>
      <c r="N59" s="92"/>
    </row>
    <row r="60" spans="3:14" ht="15" customHeight="1" x14ac:dyDescent="0.2">
      <c r="G60" s="118"/>
      <c r="H60" s="92"/>
      <c r="I60" s="92"/>
      <c r="J60" s="92"/>
      <c r="K60" s="92"/>
      <c r="L60" s="92"/>
      <c r="M60" s="92"/>
      <c r="N60" s="92"/>
    </row>
    <row r="61" spans="3:14" ht="15" customHeight="1" x14ac:dyDescent="0.2">
      <c r="G61" s="118"/>
      <c r="H61" s="92"/>
      <c r="I61" s="92"/>
      <c r="J61" s="92"/>
      <c r="K61" s="92"/>
      <c r="L61" s="92"/>
      <c r="M61" s="92"/>
      <c r="N61" s="92"/>
    </row>
    <row r="62" spans="3:14" ht="15" customHeight="1" x14ac:dyDescent="0.2">
      <c r="G62" s="118"/>
      <c r="H62" s="92"/>
      <c r="I62" s="92"/>
      <c r="J62" s="92"/>
      <c r="K62" s="92"/>
      <c r="L62" s="92"/>
      <c r="M62" s="92"/>
      <c r="N62" s="92"/>
    </row>
    <row r="63" spans="3:14" ht="15" customHeight="1" x14ac:dyDescent="0.2">
      <c r="G63" s="118"/>
      <c r="H63" s="92"/>
      <c r="I63" s="92"/>
      <c r="J63" s="92"/>
      <c r="K63" s="92"/>
      <c r="L63" s="92"/>
      <c r="M63" s="92"/>
      <c r="N63" s="92"/>
    </row>
    <row r="64" spans="3:14" ht="15" customHeight="1" x14ac:dyDescent="0.2">
      <c r="G64" s="118"/>
      <c r="H64" s="92"/>
      <c r="I64" s="92"/>
      <c r="J64" s="92"/>
      <c r="K64" s="92"/>
      <c r="L64" s="92"/>
      <c r="M64" s="92"/>
      <c r="N64" s="92"/>
    </row>
    <row r="65" spans="7:14" ht="15" customHeight="1" x14ac:dyDescent="0.2">
      <c r="G65" s="118"/>
      <c r="H65" s="92"/>
      <c r="I65" s="92"/>
      <c r="J65" s="92"/>
      <c r="K65" s="92"/>
      <c r="L65" s="92"/>
      <c r="M65" s="92"/>
      <c r="N65" s="92"/>
    </row>
    <row r="66" spans="7:14" ht="15" customHeight="1" x14ac:dyDescent="0.2">
      <c r="G66" s="118"/>
      <c r="H66" s="92"/>
      <c r="I66" s="92"/>
      <c r="J66" s="92"/>
      <c r="K66" s="92"/>
      <c r="L66" s="92"/>
      <c r="M66" s="92"/>
      <c r="N66" s="92"/>
    </row>
    <row r="67" spans="7:14" ht="15" customHeight="1" x14ac:dyDescent="0.2">
      <c r="G67" s="118"/>
      <c r="H67" s="92"/>
      <c r="I67" s="92"/>
      <c r="J67" s="92"/>
      <c r="K67" s="92"/>
      <c r="L67" s="92"/>
      <c r="M67" s="92"/>
      <c r="N67" s="92"/>
    </row>
    <row r="68" spans="7:14" ht="15" customHeight="1" x14ac:dyDescent="0.2">
      <c r="G68" s="118"/>
      <c r="H68" s="92"/>
      <c r="I68" s="92"/>
      <c r="J68" s="92"/>
      <c r="K68" s="92"/>
      <c r="L68" s="92"/>
      <c r="M68" s="92"/>
      <c r="N68" s="92"/>
    </row>
    <row r="69" spans="7:14" ht="15" customHeight="1" x14ac:dyDescent="0.2">
      <c r="G69" s="118"/>
      <c r="H69" s="92"/>
      <c r="I69" s="92"/>
      <c r="J69" s="92"/>
      <c r="K69" s="92"/>
      <c r="L69" s="92"/>
      <c r="M69" s="92"/>
      <c r="N69" s="92"/>
    </row>
    <row r="70" spans="7:14" ht="15" customHeight="1" x14ac:dyDescent="0.2">
      <c r="G70" s="118"/>
      <c r="H70" s="92"/>
      <c r="I70" s="92"/>
      <c r="J70" s="92"/>
      <c r="K70" s="92"/>
      <c r="L70" s="92"/>
      <c r="M70" s="92"/>
      <c r="N70" s="92"/>
    </row>
    <row r="71" spans="7:14" ht="15" customHeight="1" x14ac:dyDescent="0.2">
      <c r="G71" s="118"/>
      <c r="H71" s="92"/>
      <c r="I71" s="92"/>
      <c r="J71" s="92"/>
      <c r="K71" s="92"/>
      <c r="L71" s="92"/>
      <c r="M71" s="92"/>
      <c r="N71" s="92"/>
    </row>
    <row r="72" spans="7:14" ht="15" customHeight="1" x14ac:dyDescent="0.2">
      <c r="G72" s="118"/>
      <c r="H72" s="92"/>
      <c r="I72" s="92"/>
      <c r="J72" s="92"/>
      <c r="K72" s="92"/>
      <c r="L72" s="92"/>
      <c r="M72" s="92"/>
      <c r="N72" s="92"/>
    </row>
    <row r="73" spans="7:14" ht="15" customHeight="1" x14ac:dyDescent="0.2">
      <c r="G73" s="118"/>
      <c r="H73" s="92"/>
      <c r="I73" s="92"/>
      <c r="J73" s="92"/>
      <c r="K73" s="92"/>
      <c r="L73" s="92"/>
      <c r="M73" s="92"/>
      <c r="N73" s="92"/>
    </row>
    <row r="74" spans="7:14" ht="15" customHeight="1" x14ac:dyDescent="0.2">
      <c r="G74" s="118"/>
      <c r="H74" s="92"/>
      <c r="I74" s="92"/>
      <c r="J74" s="92"/>
      <c r="K74" s="92"/>
      <c r="L74" s="92"/>
      <c r="M74" s="92"/>
      <c r="N74" s="92"/>
    </row>
    <row r="75" spans="7:14" ht="15" customHeight="1" x14ac:dyDescent="0.2">
      <c r="G75" s="118"/>
      <c r="H75" s="92"/>
      <c r="I75" s="92"/>
      <c r="J75" s="92"/>
      <c r="K75" s="92"/>
      <c r="L75" s="92"/>
      <c r="M75" s="92"/>
      <c r="N75" s="92"/>
    </row>
    <row r="76" spans="7:14" ht="15" customHeight="1" x14ac:dyDescent="0.2">
      <c r="G76" s="118"/>
      <c r="H76" s="92"/>
      <c r="I76" s="92"/>
      <c r="J76" s="92"/>
      <c r="K76" s="92"/>
      <c r="L76" s="92"/>
      <c r="M76" s="92"/>
      <c r="N76" s="92"/>
    </row>
    <row r="77" spans="7:14" ht="15" customHeight="1" x14ac:dyDescent="0.2">
      <c r="G77" s="118"/>
      <c r="H77" s="92"/>
      <c r="I77" s="92"/>
      <c r="J77" s="92"/>
      <c r="K77" s="92"/>
      <c r="L77" s="92"/>
      <c r="M77" s="92"/>
      <c r="N77" s="92"/>
    </row>
    <row r="78" spans="7:14" ht="15" customHeight="1" x14ac:dyDescent="0.2">
      <c r="G78" s="118"/>
      <c r="H78" s="92"/>
      <c r="I78" s="92"/>
      <c r="J78" s="92"/>
      <c r="K78" s="92"/>
      <c r="L78" s="92"/>
      <c r="M78" s="92"/>
      <c r="N78" s="92"/>
    </row>
    <row r="79" spans="7:14" ht="15" customHeight="1" x14ac:dyDescent="0.2">
      <c r="G79" s="118"/>
      <c r="H79" s="92"/>
      <c r="I79" s="92"/>
      <c r="J79" s="92"/>
      <c r="K79" s="92"/>
      <c r="L79" s="92"/>
      <c r="M79" s="92"/>
      <c r="N79" s="92"/>
    </row>
    <row r="80" spans="7:14" ht="15" customHeight="1" x14ac:dyDescent="0.2">
      <c r="G80" s="118"/>
      <c r="H80" s="92"/>
      <c r="I80" s="92"/>
      <c r="J80" s="92"/>
      <c r="K80" s="92"/>
      <c r="L80" s="92"/>
      <c r="M80" s="92"/>
      <c r="N80" s="92"/>
    </row>
    <row r="81" spans="7:14" ht="15" customHeight="1" x14ac:dyDescent="0.2">
      <c r="G81" s="118"/>
      <c r="H81" s="92"/>
      <c r="I81" s="92"/>
      <c r="J81" s="92"/>
      <c r="K81" s="92"/>
      <c r="L81" s="92"/>
      <c r="M81" s="92"/>
      <c r="N81" s="92"/>
    </row>
    <row r="82" spans="7:14" ht="15" customHeight="1" x14ac:dyDescent="0.2">
      <c r="G82" s="118"/>
      <c r="H82" s="92"/>
      <c r="I82" s="92"/>
      <c r="J82" s="92"/>
      <c r="K82" s="92"/>
      <c r="L82" s="92"/>
      <c r="M82" s="92"/>
      <c r="N82" s="92"/>
    </row>
    <row r="83" spans="7:14" ht="15" customHeight="1" x14ac:dyDescent="0.2">
      <c r="G83" s="118"/>
      <c r="H83" s="92"/>
      <c r="I83" s="92"/>
      <c r="J83" s="92"/>
      <c r="K83" s="92"/>
      <c r="L83" s="92"/>
      <c r="M83" s="92"/>
      <c r="N83" s="92"/>
    </row>
    <row r="84" spans="7:14" ht="15" customHeight="1" x14ac:dyDescent="0.2">
      <c r="G84" s="118"/>
      <c r="H84" s="92"/>
      <c r="I84" s="92"/>
      <c r="J84" s="92"/>
      <c r="K84" s="92"/>
      <c r="L84" s="92"/>
      <c r="M84" s="92"/>
      <c r="N84" s="92"/>
    </row>
    <row r="85" spans="7:14" ht="15" customHeight="1" x14ac:dyDescent="0.2">
      <c r="G85" s="118"/>
      <c r="H85" s="92"/>
      <c r="I85" s="92"/>
      <c r="J85" s="92"/>
      <c r="K85" s="92"/>
      <c r="L85" s="92"/>
      <c r="M85" s="92"/>
      <c r="N85" s="92"/>
    </row>
    <row r="86" spans="7:14" ht="15" customHeight="1" x14ac:dyDescent="0.2">
      <c r="G86" s="118"/>
      <c r="H86" s="92"/>
      <c r="I86" s="92"/>
      <c r="J86" s="92"/>
      <c r="K86" s="92"/>
      <c r="L86" s="92"/>
      <c r="M86" s="92"/>
      <c r="N86" s="92"/>
    </row>
    <row r="87" spans="7:14" ht="15" customHeight="1" x14ac:dyDescent="0.2">
      <c r="G87" s="118"/>
      <c r="H87" s="92"/>
      <c r="I87" s="92"/>
      <c r="J87" s="92"/>
      <c r="K87" s="92"/>
      <c r="L87" s="92"/>
      <c r="M87" s="92"/>
      <c r="N87" s="92"/>
    </row>
    <row r="88" spans="7:14" ht="15" customHeight="1" x14ac:dyDescent="0.2">
      <c r="G88" s="118"/>
      <c r="H88" s="92"/>
      <c r="I88" s="92"/>
      <c r="J88" s="92"/>
      <c r="K88" s="92"/>
      <c r="L88" s="92"/>
      <c r="M88" s="92"/>
      <c r="N88" s="92"/>
    </row>
    <row r="89" spans="7:14" ht="15" customHeight="1" x14ac:dyDescent="0.2">
      <c r="G89" s="118"/>
      <c r="H89" s="92"/>
      <c r="I89" s="92"/>
      <c r="J89" s="92"/>
      <c r="K89" s="92"/>
      <c r="L89" s="92"/>
      <c r="M89" s="92"/>
      <c r="N89" s="92"/>
    </row>
    <row r="90" spans="7:14" ht="15" customHeight="1" x14ac:dyDescent="0.2"/>
    <row r="91" spans="7:14" ht="15" customHeight="1" x14ac:dyDescent="0.2"/>
    <row r="92" spans="7:14" ht="15" customHeight="1" x14ac:dyDescent="0.2"/>
    <row r="93" spans="7:14" ht="15" customHeight="1" x14ac:dyDescent="0.2"/>
    <row r="94" spans="7:14" ht="15" customHeight="1" x14ac:dyDescent="0.2"/>
    <row r="95" spans="7:14" ht="15" customHeight="1" x14ac:dyDescent="0.2"/>
    <row r="96" spans="7:14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</sheetData>
  <sheetProtection password="ECF7" sheet="1" selectLockedCells="1" selectUnlockedCells="1"/>
  <mergeCells count="2">
    <mergeCell ref="B26:E26"/>
    <mergeCell ref="B1:F1"/>
  </mergeCells>
  <printOptions horizontalCentered="1"/>
  <pageMargins left="0.51181102362204722" right="0.51181102362204722" top="1.5748031496062993" bottom="0.78740157480314965" header="0.51181102362204722" footer="0.31496062992125984"/>
  <pageSetup paperSize="9" orientation="portrait" r:id="rId1"/>
  <headerFooter>
    <oddHeader>&amp;R&amp;G</oddHeader>
    <oddFooter xml:space="preserve">&amp;C&amp;"Calibri,Negrito"&amp;8&amp;G
Associação Nacional do Transporte de Cargas e Logística | NTC
&amp;"Calibri,Itálico"Sede: Rua da Gávea, 1390 – Vila Maria | CEP 02121-020 - São Paulo/SP
&amp;"Calibri,Negrito itálico"&amp;U&amp;K184782www.ntc.org.br&amp;"Arial,Normal"&amp;12&amp;U&amp;K000000
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Group Box 1">
              <controlPr defaultSize="0" autoFill="0" autoPict="0">
                <anchor moveWithCells="1">
                  <from>
                    <xdr:col>1</xdr:col>
                    <xdr:colOff>447675</xdr:colOff>
                    <xdr:row>2</xdr:row>
                    <xdr:rowOff>38100</xdr:rowOff>
                  </from>
                  <to>
                    <xdr:col>5</xdr:col>
                    <xdr:colOff>695325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Option Button 2">
              <controlPr defaultSize="0" autoFill="0" autoLine="0" autoPict="0">
                <anchor moveWithCells="1">
                  <from>
                    <xdr:col>1</xdr:col>
                    <xdr:colOff>714375</xdr:colOff>
                    <xdr:row>2</xdr:row>
                    <xdr:rowOff>161925</xdr:rowOff>
                  </from>
                  <to>
                    <xdr:col>2</xdr:col>
                    <xdr:colOff>561975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Option Button 3">
              <controlPr defaultSize="0" autoFill="0" autoLine="0" autoPict="0">
                <anchor moveWithCells="1">
                  <from>
                    <xdr:col>2</xdr:col>
                    <xdr:colOff>581025</xdr:colOff>
                    <xdr:row>2</xdr:row>
                    <xdr:rowOff>161925</xdr:rowOff>
                  </from>
                  <to>
                    <xdr:col>3</xdr:col>
                    <xdr:colOff>314325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Drop Down 6">
              <controlPr defaultSize="0" autoLine="0" autoPict="0">
                <anchor moveWithCells="1">
                  <from>
                    <xdr:col>2</xdr:col>
                    <xdr:colOff>76200</xdr:colOff>
                    <xdr:row>6</xdr:row>
                    <xdr:rowOff>0</xdr:rowOff>
                  </from>
                  <to>
                    <xdr:col>3</xdr:col>
                    <xdr:colOff>57150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Drop Down 7">
              <controlPr defaultSize="0" autoLine="0" autoPict="0">
                <anchor moveWithCells="1">
                  <from>
                    <xdr:col>4</xdr:col>
                    <xdr:colOff>190500</xdr:colOff>
                    <xdr:row>6</xdr:row>
                    <xdr:rowOff>0</xdr:rowOff>
                  </from>
                  <to>
                    <xdr:col>5</xdr:col>
                    <xdr:colOff>57150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Option Button 8">
              <controlPr defaultSize="0" autoFill="0" autoLine="0" autoPict="0">
                <anchor moveWithCells="1">
                  <from>
                    <xdr:col>3</xdr:col>
                    <xdr:colOff>333375</xdr:colOff>
                    <xdr:row>2</xdr:row>
                    <xdr:rowOff>161925</xdr:rowOff>
                  </from>
                  <to>
                    <xdr:col>3</xdr:col>
                    <xdr:colOff>1123950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Option Button 9">
              <controlPr defaultSize="0" autoFill="0" autoLine="0" autoPict="0">
                <anchor moveWithCells="1">
                  <from>
                    <xdr:col>3</xdr:col>
                    <xdr:colOff>1143000</xdr:colOff>
                    <xdr:row>2</xdr:row>
                    <xdr:rowOff>161925</xdr:rowOff>
                  </from>
                  <to>
                    <xdr:col>4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Option Button 10">
              <controlPr defaultSize="0" autoFill="0" autoLine="0" autoPict="0">
                <anchor moveWithCells="1">
                  <from>
                    <xdr:col>4</xdr:col>
                    <xdr:colOff>742950</xdr:colOff>
                    <xdr:row>2</xdr:row>
                    <xdr:rowOff>161925</xdr:rowOff>
                  </from>
                  <to>
                    <xdr:col>5</xdr:col>
                    <xdr:colOff>361950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  <webPublishItems count="1">
    <webPublishItem id="26020" divId="Combustível_26020" sourceType="sheet" destinationFile="C:\Users\Fernando\Desktop\Combustível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pageSetUpPr fitToPage="1"/>
  </sheetPr>
  <dimension ref="A1:N487"/>
  <sheetViews>
    <sheetView showGridLines="0" showOutlineSymbols="0" topLeftCell="B8" zoomScaleNormal="100" workbookViewId="0">
      <pane ySplit="2295" topLeftCell="A280" activePane="bottomLeft"/>
      <selection activeCell="A8" sqref="A1:A1048576"/>
      <selection pane="bottomLeft" activeCell="I282" sqref="I282"/>
    </sheetView>
  </sheetViews>
  <sheetFormatPr defaultColWidth="11.6640625" defaultRowHeight="15.75" x14ac:dyDescent="0.25"/>
  <cols>
    <col min="1" max="1" width="2.21875" style="21" hidden="1" customWidth="1"/>
    <col min="2" max="2" width="10.6640625" style="1" customWidth="1"/>
    <col min="3" max="3" width="10.44140625" style="1" customWidth="1"/>
    <col min="4" max="4" width="7.6640625" style="1" customWidth="1"/>
    <col min="5" max="6" width="6.5546875" style="1" customWidth="1"/>
    <col min="7" max="7" width="8.109375" style="1" customWidth="1"/>
    <col min="8" max="8" width="7.21875" style="1" customWidth="1"/>
    <col min="9" max="9" width="11.6640625" style="1"/>
    <col min="10" max="11" width="11.6640625" style="8"/>
    <col min="12" max="16384" width="11.6640625" style="9"/>
  </cols>
  <sheetData>
    <row r="1" spans="1:10" s="1" customFormat="1" ht="21" customHeight="1" x14ac:dyDescent="0.25">
      <c r="A1" s="121"/>
      <c r="C1" s="2"/>
      <c r="D1" s="196" t="s">
        <v>0</v>
      </c>
      <c r="E1" s="196" t="s">
        <v>1</v>
      </c>
      <c r="F1" s="196"/>
      <c r="G1" s="196"/>
      <c r="H1" s="196"/>
      <c r="I1" s="196"/>
      <c r="J1" s="3"/>
    </row>
    <row r="2" spans="1:10" s="1" customFormat="1" ht="15" customHeight="1" x14ac:dyDescent="0.25">
      <c r="A2" s="121"/>
      <c r="B2" s="2"/>
      <c r="C2" s="2"/>
      <c r="D2" s="196"/>
      <c r="E2" s="196"/>
      <c r="F2" s="196"/>
      <c r="G2" s="196"/>
      <c r="H2" s="196"/>
      <c r="I2" s="196"/>
      <c r="J2" s="3"/>
    </row>
    <row r="3" spans="1:10" s="1" customFormat="1" ht="15" customHeight="1" thickBot="1" x14ac:dyDescent="0.3">
      <c r="A3" s="121"/>
      <c r="B3" s="2"/>
      <c r="C3" s="2"/>
      <c r="D3" s="197"/>
      <c r="E3" s="197"/>
      <c r="F3" s="197"/>
      <c r="G3" s="197"/>
      <c r="H3" s="197"/>
      <c r="I3" s="197"/>
    </row>
    <row r="4" spans="1:10" s="1" customFormat="1" ht="17.25" customHeight="1" thickBot="1" x14ac:dyDescent="0.3">
      <c r="A4" s="121"/>
      <c r="B4" s="198" t="s">
        <v>2</v>
      </c>
      <c r="C4" s="199"/>
      <c r="D4" s="200"/>
      <c r="E4" s="201" t="s">
        <v>3</v>
      </c>
      <c r="F4" s="202"/>
      <c r="G4" s="202"/>
      <c r="H4" s="202"/>
      <c r="I4" s="203"/>
    </row>
    <row r="5" spans="1:10" s="1" customFormat="1" ht="15" customHeight="1" thickBot="1" x14ac:dyDescent="0.3">
      <c r="A5" s="121"/>
      <c r="B5" s="204" t="s">
        <v>4</v>
      </c>
      <c r="C5" s="205"/>
      <c r="D5" s="206"/>
      <c r="E5" s="207" t="s">
        <v>5</v>
      </c>
      <c r="F5" s="208"/>
      <c r="G5" s="208"/>
      <c r="H5" s="209"/>
      <c r="I5" s="210" t="s">
        <v>6</v>
      </c>
      <c r="J5" s="3"/>
    </row>
    <row r="6" spans="1:10" s="1" customFormat="1" ht="15.75" customHeight="1" thickBot="1" x14ac:dyDescent="0.3">
      <c r="A6" s="121"/>
      <c r="B6" s="4" t="s">
        <v>7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211"/>
    </row>
    <row r="7" spans="1:10" s="1" customFormat="1" ht="15.75" customHeight="1" thickBot="1" x14ac:dyDescent="0.3">
      <c r="A7" s="121"/>
      <c r="B7" s="194" t="s">
        <v>14</v>
      </c>
      <c r="C7" s="195"/>
      <c r="D7" s="6"/>
      <c r="E7" s="6"/>
      <c r="F7" s="6"/>
      <c r="G7" s="6"/>
      <c r="H7" s="6"/>
      <c r="I7" s="7"/>
    </row>
    <row r="8" spans="1:10" ht="15" customHeight="1" x14ac:dyDescent="0.25">
      <c r="A8" s="122">
        <v>1</v>
      </c>
      <c r="B8" s="139" t="s">
        <v>15</v>
      </c>
      <c r="C8" s="13">
        <f>+[1]geral!C15</f>
        <v>0.34</v>
      </c>
      <c r="D8" s="14">
        <v>100</v>
      </c>
      <c r="E8" s="14"/>
      <c r="F8" s="14"/>
      <c r="G8" s="14"/>
      <c r="H8" s="34"/>
      <c r="I8" s="140">
        <f>$C$293/C8</f>
        <v>10.029411764705882</v>
      </c>
    </row>
    <row r="9" spans="1:10" ht="15" customHeight="1" x14ac:dyDescent="0.25">
      <c r="A9" s="122">
        <f>1+A8</f>
        <v>2</v>
      </c>
      <c r="B9" s="141" t="s">
        <v>16</v>
      </c>
      <c r="C9" s="16">
        <f>+[1]geral!C16</f>
        <v>0.34</v>
      </c>
      <c r="D9" s="17">
        <f>100*C9/$C$8</f>
        <v>99.999999999999986</v>
      </c>
      <c r="E9" s="17">
        <f>100*((C9/C8)-1)</f>
        <v>0</v>
      </c>
      <c r="F9" s="17"/>
      <c r="G9" s="17"/>
      <c r="H9" s="40"/>
      <c r="I9" s="142">
        <f>$C$293/C9</f>
        <v>10.029411764705882</v>
      </c>
    </row>
    <row r="10" spans="1:10" ht="15" customHeight="1" x14ac:dyDescent="0.25">
      <c r="A10" s="122">
        <f t="shared" ref="A10:A73" si="0">1+A9</f>
        <v>3</v>
      </c>
      <c r="B10" s="141" t="s">
        <v>17</v>
      </c>
      <c r="C10" s="16">
        <f>+[1]geral!C17</f>
        <v>0.34</v>
      </c>
      <c r="D10" s="17">
        <f t="shared" ref="D10:D73" si="1">100*C10/$C$8</f>
        <v>99.999999999999986</v>
      </c>
      <c r="E10" s="17">
        <f t="shared" ref="E10:E73" si="2">100*((C10/C9)-1)</f>
        <v>0</v>
      </c>
      <c r="F10" s="17"/>
      <c r="G10" s="17"/>
      <c r="H10" s="40"/>
      <c r="I10" s="142">
        <f t="shared" ref="I10:I73" si="3">$C$293/C10</f>
        <v>10.029411764705882</v>
      </c>
    </row>
    <row r="11" spans="1:10" ht="15" customHeight="1" x14ac:dyDescent="0.25">
      <c r="A11" s="122">
        <f t="shared" si="0"/>
        <v>4</v>
      </c>
      <c r="B11" s="141" t="s">
        <v>18</v>
      </c>
      <c r="C11" s="16">
        <f>+[1]geral!C18</f>
        <v>0.34</v>
      </c>
      <c r="D11" s="17">
        <f t="shared" si="1"/>
        <v>99.999999999999986</v>
      </c>
      <c r="E11" s="17">
        <f t="shared" si="2"/>
        <v>0</v>
      </c>
      <c r="F11" s="17"/>
      <c r="G11" s="17"/>
      <c r="H11" s="40"/>
      <c r="I11" s="142">
        <f t="shared" si="3"/>
        <v>10.029411764705882</v>
      </c>
    </row>
    <row r="12" spans="1:10" ht="15" customHeight="1" x14ac:dyDescent="0.25">
      <c r="A12" s="122">
        <f t="shared" si="0"/>
        <v>5</v>
      </c>
      <c r="B12" s="141" t="s">
        <v>19</v>
      </c>
      <c r="C12" s="16">
        <v>0.34</v>
      </c>
      <c r="D12" s="17">
        <f t="shared" si="1"/>
        <v>99.999999999999986</v>
      </c>
      <c r="E12" s="17">
        <f t="shared" si="2"/>
        <v>0</v>
      </c>
      <c r="F12" s="17"/>
      <c r="G12" s="17"/>
      <c r="H12" s="40"/>
      <c r="I12" s="142">
        <f t="shared" si="3"/>
        <v>10.029411764705882</v>
      </c>
    </row>
    <row r="13" spans="1:10" ht="15" customHeight="1" x14ac:dyDescent="0.25">
      <c r="A13" s="122">
        <f t="shared" si="0"/>
        <v>6</v>
      </c>
      <c r="B13" s="141" t="s">
        <v>20</v>
      </c>
      <c r="C13" s="16">
        <f>+[1]geral!C20</f>
        <v>0.34</v>
      </c>
      <c r="D13" s="17">
        <f t="shared" si="1"/>
        <v>99.999999999999986</v>
      </c>
      <c r="E13" s="17">
        <f t="shared" si="2"/>
        <v>0</v>
      </c>
      <c r="F13" s="17"/>
      <c r="G13" s="17"/>
      <c r="H13" s="40"/>
      <c r="I13" s="142">
        <f t="shared" si="3"/>
        <v>10.029411764705882</v>
      </c>
    </row>
    <row r="14" spans="1:10" ht="15" customHeight="1" x14ac:dyDescent="0.25">
      <c r="A14" s="122">
        <f t="shared" si="0"/>
        <v>7</v>
      </c>
      <c r="B14" s="141" t="s">
        <v>21</v>
      </c>
      <c r="C14" s="16">
        <f>+[1]geral!E9</f>
        <v>0.34</v>
      </c>
      <c r="D14" s="17">
        <f t="shared" si="1"/>
        <v>99.999999999999986</v>
      </c>
      <c r="E14" s="17">
        <f t="shared" si="2"/>
        <v>0</v>
      </c>
      <c r="F14" s="17">
        <f>100*((C14/$C$13)-1)</f>
        <v>0</v>
      </c>
      <c r="G14" s="17"/>
      <c r="H14" s="40"/>
      <c r="I14" s="142">
        <f t="shared" si="3"/>
        <v>10.029411764705882</v>
      </c>
    </row>
    <row r="15" spans="1:10" ht="15" customHeight="1" x14ac:dyDescent="0.25">
      <c r="A15" s="122">
        <f t="shared" si="0"/>
        <v>8</v>
      </c>
      <c r="B15" s="141" t="s">
        <v>22</v>
      </c>
      <c r="C15" s="16">
        <f>+[1]geral!E10</f>
        <v>0.34</v>
      </c>
      <c r="D15" s="17">
        <f t="shared" si="1"/>
        <v>99.999999999999986</v>
      </c>
      <c r="E15" s="17">
        <f t="shared" si="2"/>
        <v>0</v>
      </c>
      <c r="F15" s="17">
        <f t="shared" ref="F15:F25" si="4">100*((C15/$C$13)-1)</f>
        <v>0</v>
      </c>
      <c r="G15" s="17"/>
      <c r="H15" s="40"/>
      <c r="I15" s="142">
        <f t="shared" si="3"/>
        <v>10.029411764705882</v>
      </c>
    </row>
    <row r="16" spans="1:10" ht="15" customHeight="1" x14ac:dyDescent="0.25">
      <c r="A16" s="122">
        <f t="shared" si="0"/>
        <v>9</v>
      </c>
      <c r="B16" s="141" t="s">
        <v>23</v>
      </c>
      <c r="C16" s="16">
        <f>+[1]geral!E11</f>
        <v>0.34</v>
      </c>
      <c r="D16" s="17">
        <f t="shared" si="1"/>
        <v>99.999999999999986</v>
      </c>
      <c r="E16" s="17">
        <f t="shared" si="2"/>
        <v>0</v>
      </c>
      <c r="F16" s="17">
        <f t="shared" si="4"/>
        <v>0</v>
      </c>
      <c r="G16" s="17"/>
      <c r="H16" s="40"/>
      <c r="I16" s="142">
        <f t="shared" si="3"/>
        <v>10.029411764705882</v>
      </c>
    </row>
    <row r="17" spans="1:9" ht="15" customHeight="1" x14ac:dyDescent="0.25">
      <c r="A17" s="122">
        <f t="shared" si="0"/>
        <v>10</v>
      </c>
      <c r="B17" s="141" t="s">
        <v>24</v>
      </c>
      <c r="C17" s="16">
        <f>+[1]geral!E12</f>
        <v>0.34</v>
      </c>
      <c r="D17" s="17">
        <f t="shared" si="1"/>
        <v>99.999999999999986</v>
      </c>
      <c r="E17" s="17">
        <f t="shared" si="2"/>
        <v>0</v>
      </c>
      <c r="F17" s="17">
        <f t="shared" si="4"/>
        <v>0</v>
      </c>
      <c r="G17" s="17"/>
      <c r="H17" s="40"/>
      <c r="I17" s="142">
        <f t="shared" si="3"/>
        <v>10.029411764705882</v>
      </c>
    </row>
    <row r="18" spans="1:9" ht="15" customHeight="1" x14ac:dyDescent="0.25">
      <c r="A18" s="122">
        <f t="shared" si="0"/>
        <v>11</v>
      </c>
      <c r="B18" s="141" t="s">
        <v>25</v>
      </c>
      <c r="C18" s="16">
        <f>+[1]geral!E13</f>
        <v>0.34</v>
      </c>
      <c r="D18" s="17">
        <f t="shared" si="1"/>
        <v>99.999999999999986</v>
      </c>
      <c r="E18" s="17">
        <f t="shared" si="2"/>
        <v>0</v>
      </c>
      <c r="F18" s="17">
        <f t="shared" si="4"/>
        <v>0</v>
      </c>
      <c r="G18" s="17"/>
      <c r="H18" s="40"/>
      <c r="I18" s="142">
        <f t="shared" si="3"/>
        <v>10.029411764705882</v>
      </c>
    </row>
    <row r="19" spans="1:9" ht="15" customHeight="1" x14ac:dyDescent="0.25">
      <c r="A19" s="122">
        <f t="shared" si="0"/>
        <v>12</v>
      </c>
      <c r="B19" s="141" t="s">
        <v>26</v>
      </c>
      <c r="C19" s="16">
        <f>+[1]geral!E14</f>
        <v>0.34</v>
      </c>
      <c r="D19" s="17">
        <f t="shared" si="1"/>
        <v>99.999999999999986</v>
      </c>
      <c r="E19" s="17">
        <f t="shared" si="2"/>
        <v>0</v>
      </c>
      <c r="F19" s="17">
        <f t="shared" si="4"/>
        <v>0</v>
      </c>
      <c r="G19" s="17"/>
      <c r="H19" s="40"/>
      <c r="I19" s="142">
        <f t="shared" si="3"/>
        <v>10.029411764705882</v>
      </c>
    </row>
    <row r="20" spans="1:9" ht="15" customHeight="1" x14ac:dyDescent="0.25">
      <c r="A20" s="122">
        <f t="shared" si="0"/>
        <v>13</v>
      </c>
      <c r="B20" s="141" t="s">
        <v>27</v>
      </c>
      <c r="C20" s="16">
        <f>+[1]geral!E15</f>
        <v>0.34</v>
      </c>
      <c r="D20" s="17">
        <f t="shared" si="1"/>
        <v>99.999999999999986</v>
      </c>
      <c r="E20" s="17">
        <f t="shared" si="2"/>
        <v>0</v>
      </c>
      <c r="F20" s="17">
        <f t="shared" si="4"/>
        <v>0</v>
      </c>
      <c r="G20" s="17">
        <f>100*((C20/C8)-1)</f>
        <v>0</v>
      </c>
      <c r="H20" s="40"/>
      <c r="I20" s="142">
        <f t="shared" si="3"/>
        <v>10.029411764705882</v>
      </c>
    </row>
    <row r="21" spans="1:9" ht="15" customHeight="1" x14ac:dyDescent="0.25">
      <c r="A21" s="122">
        <f t="shared" si="0"/>
        <v>14</v>
      </c>
      <c r="B21" s="141" t="s">
        <v>28</v>
      </c>
      <c r="C21" s="16">
        <f>+[1]geral!E16</f>
        <v>0.34</v>
      </c>
      <c r="D21" s="17">
        <f t="shared" si="1"/>
        <v>99.999999999999986</v>
      </c>
      <c r="E21" s="17">
        <f t="shared" si="2"/>
        <v>0</v>
      </c>
      <c r="F21" s="17">
        <f t="shared" si="4"/>
        <v>0</v>
      </c>
      <c r="G21" s="43">
        <f t="shared" ref="G21:G83" si="5">100*((C21/C9)-1)</f>
        <v>0</v>
      </c>
      <c r="H21" s="20"/>
      <c r="I21" s="142">
        <f t="shared" si="3"/>
        <v>10.029411764705882</v>
      </c>
    </row>
    <row r="22" spans="1:9" ht="15" customHeight="1" x14ac:dyDescent="0.25">
      <c r="A22" s="122">
        <f t="shared" si="0"/>
        <v>15</v>
      </c>
      <c r="B22" s="141" t="s">
        <v>29</v>
      </c>
      <c r="C22" s="16">
        <f>+[1]geral!E17</f>
        <v>0.34</v>
      </c>
      <c r="D22" s="17">
        <f t="shared" si="1"/>
        <v>99.999999999999986</v>
      </c>
      <c r="E22" s="17">
        <f t="shared" si="2"/>
        <v>0</v>
      </c>
      <c r="F22" s="17">
        <f t="shared" si="4"/>
        <v>0</v>
      </c>
      <c r="G22" s="43">
        <f t="shared" si="5"/>
        <v>0</v>
      </c>
      <c r="H22" s="20"/>
      <c r="I22" s="142">
        <f t="shared" si="3"/>
        <v>10.029411764705882</v>
      </c>
    </row>
    <row r="23" spans="1:9" ht="15" customHeight="1" x14ac:dyDescent="0.25">
      <c r="A23" s="122">
        <f t="shared" si="0"/>
        <v>16</v>
      </c>
      <c r="B23" s="141" t="s">
        <v>30</v>
      </c>
      <c r="C23" s="16">
        <f>+[1]geral!E18</f>
        <v>0.38</v>
      </c>
      <c r="D23" s="17">
        <f t="shared" si="1"/>
        <v>111.76470588235293</v>
      </c>
      <c r="E23" s="17">
        <f>100*((C23/C22)-1)</f>
        <v>11.764705882352944</v>
      </c>
      <c r="F23" s="17">
        <f>100*((C23/$C$13)-1)</f>
        <v>11.764705882352944</v>
      </c>
      <c r="G23" s="43">
        <f t="shared" si="5"/>
        <v>11.764705882352944</v>
      </c>
      <c r="H23" s="20"/>
      <c r="I23" s="142">
        <f t="shared" si="3"/>
        <v>8.9736842105263168</v>
      </c>
    </row>
    <row r="24" spans="1:9" ht="15" customHeight="1" x14ac:dyDescent="0.25">
      <c r="A24" s="122">
        <f t="shared" si="0"/>
        <v>17</v>
      </c>
      <c r="B24" s="141" t="s">
        <v>31</v>
      </c>
      <c r="C24" s="16">
        <f>+[1]geral!E19</f>
        <v>0.38</v>
      </c>
      <c r="D24" s="17">
        <f t="shared" si="1"/>
        <v>111.76470588235293</v>
      </c>
      <c r="E24" s="17">
        <f t="shared" si="2"/>
        <v>0</v>
      </c>
      <c r="F24" s="17">
        <f t="shared" si="4"/>
        <v>11.764705882352944</v>
      </c>
      <c r="G24" s="43">
        <f t="shared" si="5"/>
        <v>11.764705882352944</v>
      </c>
      <c r="H24" s="20"/>
      <c r="I24" s="142">
        <f t="shared" si="3"/>
        <v>8.9736842105263168</v>
      </c>
    </row>
    <row r="25" spans="1:9" ht="15" customHeight="1" x14ac:dyDescent="0.25">
      <c r="A25" s="122">
        <f t="shared" si="0"/>
        <v>18</v>
      </c>
      <c r="B25" s="141" t="s">
        <v>32</v>
      </c>
      <c r="C25" s="16">
        <f>+[1]geral!E20</f>
        <v>0.38</v>
      </c>
      <c r="D25" s="17">
        <f t="shared" si="1"/>
        <v>111.76470588235293</v>
      </c>
      <c r="E25" s="17">
        <f t="shared" si="2"/>
        <v>0</v>
      </c>
      <c r="F25" s="17">
        <f t="shared" si="4"/>
        <v>11.764705882352944</v>
      </c>
      <c r="G25" s="43">
        <f t="shared" si="5"/>
        <v>11.764705882352944</v>
      </c>
      <c r="H25" s="20"/>
      <c r="I25" s="142">
        <f t="shared" si="3"/>
        <v>8.9736842105263168</v>
      </c>
    </row>
    <row r="26" spans="1:9" ht="15" customHeight="1" x14ac:dyDescent="0.25">
      <c r="A26" s="122">
        <f t="shared" si="0"/>
        <v>19</v>
      </c>
      <c r="B26" s="141" t="s">
        <v>33</v>
      </c>
      <c r="C26" s="16">
        <f>+[1]geral!G9</f>
        <v>0.38</v>
      </c>
      <c r="D26" s="17">
        <f t="shared" si="1"/>
        <v>111.76470588235293</v>
      </c>
      <c r="E26" s="17">
        <f t="shared" si="2"/>
        <v>0</v>
      </c>
      <c r="F26" s="17">
        <f t="shared" ref="F26:F37" si="6">100*((C26/$C$25)-1)</f>
        <v>0</v>
      </c>
      <c r="G26" s="43">
        <f t="shared" si="5"/>
        <v>11.764705882352944</v>
      </c>
      <c r="H26" s="20"/>
      <c r="I26" s="142">
        <f t="shared" si="3"/>
        <v>8.9736842105263168</v>
      </c>
    </row>
    <row r="27" spans="1:9" ht="15" customHeight="1" x14ac:dyDescent="0.25">
      <c r="A27" s="122">
        <f t="shared" si="0"/>
        <v>20</v>
      </c>
      <c r="B27" s="141" t="s">
        <v>34</v>
      </c>
      <c r="C27" s="16">
        <f>+[1]geral!G10</f>
        <v>0.38</v>
      </c>
      <c r="D27" s="17">
        <f t="shared" si="1"/>
        <v>111.76470588235293</v>
      </c>
      <c r="E27" s="17">
        <f t="shared" si="2"/>
        <v>0</v>
      </c>
      <c r="F27" s="17">
        <f t="shared" si="6"/>
        <v>0</v>
      </c>
      <c r="G27" s="43">
        <f t="shared" si="5"/>
        <v>11.764705882352944</v>
      </c>
      <c r="H27" s="20"/>
      <c r="I27" s="142">
        <f t="shared" si="3"/>
        <v>8.9736842105263168</v>
      </c>
    </row>
    <row r="28" spans="1:9" ht="15" customHeight="1" x14ac:dyDescent="0.25">
      <c r="A28" s="122">
        <f t="shared" si="0"/>
        <v>21</v>
      </c>
      <c r="B28" s="141" t="s">
        <v>35</v>
      </c>
      <c r="C28" s="16">
        <f>+[1]geral!G11</f>
        <v>0.38</v>
      </c>
      <c r="D28" s="17">
        <f t="shared" si="1"/>
        <v>111.76470588235293</v>
      </c>
      <c r="E28" s="17">
        <f t="shared" si="2"/>
        <v>0</v>
      </c>
      <c r="F28" s="17">
        <f t="shared" si="6"/>
        <v>0</v>
      </c>
      <c r="G28" s="43">
        <f t="shared" si="5"/>
        <v>11.764705882352944</v>
      </c>
      <c r="H28" s="20"/>
      <c r="I28" s="142">
        <f t="shared" si="3"/>
        <v>8.9736842105263168</v>
      </c>
    </row>
    <row r="29" spans="1:9" ht="15" customHeight="1" x14ac:dyDescent="0.25">
      <c r="A29" s="122">
        <f t="shared" si="0"/>
        <v>22</v>
      </c>
      <c r="B29" s="141" t="s">
        <v>36</v>
      </c>
      <c r="C29" s="16">
        <f>+[1]geral!G12</f>
        <v>0.38</v>
      </c>
      <c r="D29" s="17">
        <f t="shared" si="1"/>
        <v>111.76470588235293</v>
      </c>
      <c r="E29" s="17">
        <f t="shared" si="2"/>
        <v>0</v>
      </c>
      <c r="F29" s="17">
        <f t="shared" si="6"/>
        <v>0</v>
      </c>
      <c r="G29" s="43">
        <f t="shared" si="5"/>
        <v>11.764705882352944</v>
      </c>
      <c r="H29" s="20"/>
      <c r="I29" s="142">
        <f t="shared" si="3"/>
        <v>8.9736842105263168</v>
      </c>
    </row>
    <row r="30" spans="1:9" ht="15" customHeight="1" x14ac:dyDescent="0.25">
      <c r="A30" s="122">
        <f t="shared" si="0"/>
        <v>23</v>
      </c>
      <c r="B30" s="141" t="s">
        <v>37</v>
      </c>
      <c r="C30" s="16">
        <f>+[1]geral!G13</f>
        <v>0.38</v>
      </c>
      <c r="D30" s="17">
        <f t="shared" si="1"/>
        <v>111.76470588235293</v>
      </c>
      <c r="E30" s="17">
        <f t="shared" si="2"/>
        <v>0</v>
      </c>
      <c r="F30" s="17">
        <f t="shared" si="6"/>
        <v>0</v>
      </c>
      <c r="G30" s="43">
        <f t="shared" si="5"/>
        <v>11.764705882352944</v>
      </c>
      <c r="H30" s="20"/>
      <c r="I30" s="142">
        <f t="shared" si="3"/>
        <v>8.9736842105263168</v>
      </c>
    </row>
    <row r="31" spans="1:9" ht="15" customHeight="1" x14ac:dyDescent="0.25">
      <c r="A31" s="122">
        <f t="shared" si="0"/>
        <v>24</v>
      </c>
      <c r="B31" s="141" t="s">
        <v>38</v>
      </c>
      <c r="C31" s="16">
        <f>+[1]geral!G14</f>
        <v>0.38</v>
      </c>
      <c r="D31" s="17">
        <f t="shared" si="1"/>
        <v>111.76470588235293</v>
      </c>
      <c r="E31" s="17">
        <f t="shared" si="2"/>
        <v>0</v>
      </c>
      <c r="F31" s="17">
        <f t="shared" si="6"/>
        <v>0</v>
      </c>
      <c r="G31" s="43">
        <f t="shared" si="5"/>
        <v>11.764705882352944</v>
      </c>
      <c r="H31" s="20"/>
      <c r="I31" s="142">
        <f t="shared" si="3"/>
        <v>8.9736842105263168</v>
      </c>
    </row>
    <row r="32" spans="1:9" ht="15" customHeight="1" x14ac:dyDescent="0.25">
      <c r="A32" s="122">
        <f t="shared" si="0"/>
        <v>25</v>
      </c>
      <c r="B32" s="141" t="s">
        <v>39</v>
      </c>
      <c r="C32" s="16">
        <f>+[1]geral!G15</f>
        <v>0.38</v>
      </c>
      <c r="D32" s="17">
        <f t="shared" si="1"/>
        <v>111.76470588235293</v>
      </c>
      <c r="E32" s="17">
        <f t="shared" si="2"/>
        <v>0</v>
      </c>
      <c r="F32" s="17">
        <f t="shared" si="6"/>
        <v>0</v>
      </c>
      <c r="G32" s="43">
        <f t="shared" si="5"/>
        <v>11.764705882352944</v>
      </c>
      <c r="H32" s="20">
        <f>100*(C32/C8-1)</f>
        <v>11.764705882352944</v>
      </c>
      <c r="I32" s="142">
        <f t="shared" si="3"/>
        <v>8.9736842105263168</v>
      </c>
    </row>
    <row r="33" spans="1:9" ht="15" customHeight="1" x14ac:dyDescent="0.25">
      <c r="A33" s="122">
        <f t="shared" si="0"/>
        <v>26</v>
      </c>
      <c r="B33" s="141" t="s">
        <v>40</v>
      </c>
      <c r="C33" s="16">
        <f>+[1]geral!G16</f>
        <v>0.38</v>
      </c>
      <c r="D33" s="17">
        <f t="shared" si="1"/>
        <v>111.76470588235293</v>
      </c>
      <c r="E33" s="17">
        <f t="shared" si="2"/>
        <v>0</v>
      </c>
      <c r="F33" s="17">
        <f t="shared" si="6"/>
        <v>0</v>
      </c>
      <c r="G33" s="43">
        <f t="shared" si="5"/>
        <v>11.764705882352944</v>
      </c>
      <c r="H33" s="20">
        <f t="shared" ref="H33:H96" si="7">100*(C33/C9-1)</f>
        <v>11.764705882352944</v>
      </c>
      <c r="I33" s="142">
        <f t="shared" si="3"/>
        <v>8.9736842105263168</v>
      </c>
    </row>
    <row r="34" spans="1:9" ht="15" customHeight="1" x14ac:dyDescent="0.25">
      <c r="A34" s="122">
        <f t="shared" si="0"/>
        <v>27</v>
      </c>
      <c r="B34" s="141" t="s">
        <v>41</v>
      </c>
      <c r="C34" s="16">
        <f>+[1]geral!G17</f>
        <v>0.38</v>
      </c>
      <c r="D34" s="17">
        <f t="shared" si="1"/>
        <v>111.76470588235293</v>
      </c>
      <c r="E34" s="17">
        <f t="shared" si="2"/>
        <v>0</v>
      </c>
      <c r="F34" s="17">
        <f t="shared" si="6"/>
        <v>0</v>
      </c>
      <c r="G34" s="43">
        <f t="shared" si="5"/>
        <v>11.764705882352944</v>
      </c>
      <c r="H34" s="20">
        <f t="shared" si="7"/>
        <v>11.764705882352944</v>
      </c>
      <c r="I34" s="142">
        <f t="shared" si="3"/>
        <v>8.9736842105263168</v>
      </c>
    </row>
    <row r="35" spans="1:9" ht="15" customHeight="1" x14ac:dyDescent="0.25">
      <c r="A35" s="122">
        <f t="shared" si="0"/>
        <v>28</v>
      </c>
      <c r="B35" s="141" t="s">
        <v>42</v>
      </c>
      <c r="C35" s="16">
        <f>+[1]geral!G18</f>
        <v>0.38</v>
      </c>
      <c r="D35" s="17">
        <f t="shared" si="1"/>
        <v>111.76470588235293</v>
      </c>
      <c r="E35" s="17">
        <f t="shared" si="2"/>
        <v>0</v>
      </c>
      <c r="F35" s="17">
        <f t="shared" si="6"/>
        <v>0</v>
      </c>
      <c r="G35" s="43">
        <f t="shared" si="5"/>
        <v>0</v>
      </c>
      <c r="H35" s="20">
        <f t="shared" si="7"/>
        <v>11.764705882352944</v>
      </c>
      <c r="I35" s="142">
        <f t="shared" si="3"/>
        <v>8.9736842105263168</v>
      </c>
    </row>
    <row r="36" spans="1:9" ht="15" customHeight="1" x14ac:dyDescent="0.25">
      <c r="A36" s="122">
        <f t="shared" si="0"/>
        <v>29</v>
      </c>
      <c r="B36" s="141" t="s">
        <v>43</v>
      </c>
      <c r="C36" s="16">
        <f>+[1]geral!G19</f>
        <v>0.38</v>
      </c>
      <c r="D36" s="17">
        <f t="shared" si="1"/>
        <v>111.76470588235293</v>
      </c>
      <c r="E36" s="17">
        <f t="shared" si="2"/>
        <v>0</v>
      </c>
      <c r="F36" s="17">
        <f t="shared" si="6"/>
        <v>0</v>
      </c>
      <c r="G36" s="43">
        <f t="shared" si="5"/>
        <v>0</v>
      </c>
      <c r="H36" s="20">
        <f t="shared" si="7"/>
        <v>11.764705882352944</v>
      </c>
      <c r="I36" s="142">
        <f t="shared" si="3"/>
        <v>8.9736842105263168</v>
      </c>
    </row>
    <row r="37" spans="1:9" ht="15" customHeight="1" x14ac:dyDescent="0.25">
      <c r="A37" s="122">
        <f t="shared" si="0"/>
        <v>30</v>
      </c>
      <c r="B37" s="141" t="s">
        <v>44</v>
      </c>
      <c r="C37" s="16">
        <f>+[1]geral!G20</f>
        <v>0.41</v>
      </c>
      <c r="D37" s="17">
        <f t="shared" si="1"/>
        <v>120.58823529411764</v>
      </c>
      <c r="E37" s="17">
        <f t="shared" si="2"/>
        <v>7.8947368421052655</v>
      </c>
      <c r="F37" s="17">
        <f t="shared" si="6"/>
        <v>7.8947368421052655</v>
      </c>
      <c r="G37" s="43">
        <f t="shared" si="5"/>
        <v>7.8947368421052655</v>
      </c>
      <c r="H37" s="20">
        <f t="shared" si="7"/>
        <v>20.588235294117641</v>
      </c>
      <c r="I37" s="142">
        <f t="shared" si="3"/>
        <v>8.3170731707317085</v>
      </c>
    </row>
    <row r="38" spans="1:9" ht="15" customHeight="1" x14ac:dyDescent="0.25">
      <c r="A38" s="122">
        <f t="shared" si="0"/>
        <v>31</v>
      </c>
      <c r="B38" s="141" t="s">
        <v>45</v>
      </c>
      <c r="C38" s="16">
        <f>+[1]geral!I9</f>
        <v>0.41</v>
      </c>
      <c r="D38" s="17">
        <f t="shared" si="1"/>
        <v>120.58823529411764</v>
      </c>
      <c r="E38" s="17">
        <f t="shared" si="2"/>
        <v>0</v>
      </c>
      <c r="F38" s="17">
        <f>100*((C38/$C$37)-1)</f>
        <v>0</v>
      </c>
      <c r="G38" s="43">
        <f t="shared" si="5"/>
        <v>7.8947368421052655</v>
      </c>
      <c r="H38" s="20">
        <f t="shared" si="7"/>
        <v>20.588235294117641</v>
      </c>
      <c r="I38" s="142">
        <f t="shared" si="3"/>
        <v>8.3170731707317085</v>
      </c>
    </row>
    <row r="39" spans="1:9" ht="15" customHeight="1" x14ac:dyDescent="0.25">
      <c r="A39" s="122">
        <f t="shared" si="0"/>
        <v>32</v>
      </c>
      <c r="B39" s="141" t="s">
        <v>46</v>
      </c>
      <c r="C39" s="16">
        <f>+[1]geral!I10</f>
        <v>0.41</v>
      </c>
      <c r="D39" s="17">
        <f t="shared" si="1"/>
        <v>120.58823529411764</v>
      </c>
      <c r="E39" s="17">
        <f t="shared" si="2"/>
        <v>0</v>
      </c>
      <c r="F39" s="17">
        <f>100*((C39/$C$37)-1)</f>
        <v>0</v>
      </c>
      <c r="G39" s="43">
        <f t="shared" si="5"/>
        <v>7.8947368421052655</v>
      </c>
      <c r="H39" s="20">
        <f t="shared" si="7"/>
        <v>20.588235294117641</v>
      </c>
      <c r="I39" s="142">
        <f t="shared" si="3"/>
        <v>8.3170731707317085</v>
      </c>
    </row>
    <row r="40" spans="1:9" ht="15" customHeight="1" x14ac:dyDescent="0.25">
      <c r="A40" s="122">
        <f t="shared" si="0"/>
        <v>33</v>
      </c>
      <c r="B40" s="141" t="s">
        <v>47</v>
      </c>
      <c r="C40" s="16">
        <f>+[1]geral!I11</f>
        <v>0.41</v>
      </c>
      <c r="D40" s="17">
        <f t="shared" si="1"/>
        <v>120.58823529411764</v>
      </c>
      <c r="E40" s="17">
        <f t="shared" si="2"/>
        <v>0</v>
      </c>
      <c r="F40" s="17">
        <f>100*((C40/$C$37)-1)</f>
        <v>0</v>
      </c>
      <c r="G40" s="43">
        <f t="shared" si="5"/>
        <v>7.8947368421052655</v>
      </c>
      <c r="H40" s="20">
        <f t="shared" si="7"/>
        <v>20.588235294117641</v>
      </c>
      <c r="I40" s="142">
        <f t="shared" si="3"/>
        <v>8.3170731707317085</v>
      </c>
    </row>
    <row r="41" spans="1:9" ht="15" customHeight="1" x14ac:dyDescent="0.25">
      <c r="A41" s="122">
        <f t="shared" si="0"/>
        <v>34</v>
      </c>
      <c r="B41" s="141" t="s">
        <v>48</v>
      </c>
      <c r="C41" s="16">
        <f>+[1]geral!I12</f>
        <v>0.41</v>
      </c>
      <c r="D41" s="17">
        <f t="shared" si="1"/>
        <v>120.58823529411764</v>
      </c>
      <c r="E41" s="17">
        <f t="shared" si="2"/>
        <v>0</v>
      </c>
      <c r="F41" s="17">
        <f t="shared" ref="F41:F49" si="8">100*((C41/$C$37)-1)</f>
        <v>0</v>
      </c>
      <c r="G41" s="43">
        <f t="shared" si="5"/>
        <v>7.8947368421052655</v>
      </c>
      <c r="H41" s="20">
        <f t="shared" si="7"/>
        <v>20.588235294117641</v>
      </c>
      <c r="I41" s="142">
        <f t="shared" si="3"/>
        <v>8.3170731707317085</v>
      </c>
    </row>
    <row r="42" spans="1:9" ht="15" customHeight="1" x14ac:dyDescent="0.25">
      <c r="A42" s="122">
        <f t="shared" si="0"/>
        <v>35</v>
      </c>
      <c r="B42" s="141" t="s">
        <v>49</v>
      </c>
      <c r="C42" s="16">
        <f>+[1]geral!I13</f>
        <v>0.41</v>
      </c>
      <c r="D42" s="17">
        <f t="shared" si="1"/>
        <v>120.58823529411764</v>
      </c>
      <c r="E42" s="17">
        <f t="shared" si="2"/>
        <v>0</v>
      </c>
      <c r="F42" s="17">
        <f t="shared" si="8"/>
        <v>0</v>
      </c>
      <c r="G42" s="43">
        <f t="shared" si="5"/>
        <v>7.8947368421052655</v>
      </c>
      <c r="H42" s="20">
        <f t="shared" si="7"/>
        <v>20.588235294117641</v>
      </c>
      <c r="I42" s="142">
        <f t="shared" si="3"/>
        <v>8.3170731707317085</v>
      </c>
    </row>
    <row r="43" spans="1:9" ht="15" customHeight="1" x14ac:dyDescent="0.25">
      <c r="A43" s="122">
        <f t="shared" si="0"/>
        <v>36</v>
      </c>
      <c r="B43" s="141" t="s">
        <v>50</v>
      </c>
      <c r="C43" s="16">
        <f>+[1]geral!I14</f>
        <v>0.41</v>
      </c>
      <c r="D43" s="17">
        <f t="shared" si="1"/>
        <v>120.58823529411764</v>
      </c>
      <c r="E43" s="17">
        <f t="shared" si="2"/>
        <v>0</v>
      </c>
      <c r="F43" s="17">
        <f t="shared" si="8"/>
        <v>0</v>
      </c>
      <c r="G43" s="43">
        <f t="shared" si="5"/>
        <v>7.8947368421052655</v>
      </c>
      <c r="H43" s="20">
        <f t="shared" si="7"/>
        <v>20.588235294117641</v>
      </c>
      <c r="I43" s="142">
        <f t="shared" si="3"/>
        <v>8.3170731707317085</v>
      </c>
    </row>
    <row r="44" spans="1:9" ht="15" customHeight="1" x14ac:dyDescent="0.25">
      <c r="A44" s="122">
        <f t="shared" si="0"/>
        <v>37</v>
      </c>
      <c r="B44" s="141" t="s">
        <v>51</v>
      </c>
      <c r="C44" s="16">
        <f>+[1]geral!I15</f>
        <v>0.41</v>
      </c>
      <c r="D44" s="17">
        <f t="shared" si="1"/>
        <v>120.58823529411764</v>
      </c>
      <c r="E44" s="17">
        <f t="shared" si="2"/>
        <v>0</v>
      </c>
      <c r="F44" s="17">
        <f t="shared" si="8"/>
        <v>0</v>
      </c>
      <c r="G44" s="43">
        <f t="shared" si="5"/>
        <v>7.8947368421052655</v>
      </c>
      <c r="H44" s="20">
        <f t="shared" si="7"/>
        <v>20.588235294117641</v>
      </c>
      <c r="I44" s="142">
        <f t="shared" si="3"/>
        <v>8.3170731707317085</v>
      </c>
    </row>
    <row r="45" spans="1:9" ht="15" customHeight="1" x14ac:dyDescent="0.25">
      <c r="A45" s="122">
        <f t="shared" si="0"/>
        <v>38</v>
      </c>
      <c r="B45" s="141" t="s">
        <v>52</v>
      </c>
      <c r="C45" s="16">
        <f>+[1]geral!I16</f>
        <v>0.41</v>
      </c>
      <c r="D45" s="17">
        <f t="shared" si="1"/>
        <v>120.58823529411764</v>
      </c>
      <c r="E45" s="17">
        <f t="shared" si="2"/>
        <v>0</v>
      </c>
      <c r="F45" s="17">
        <f t="shared" si="8"/>
        <v>0</v>
      </c>
      <c r="G45" s="43">
        <f t="shared" si="5"/>
        <v>7.8947368421052655</v>
      </c>
      <c r="H45" s="20">
        <f t="shared" si="7"/>
        <v>20.588235294117641</v>
      </c>
      <c r="I45" s="142">
        <f t="shared" si="3"/>
        <v>8.3170731707317085</v>
      </c>
    </row>
    <row r="46" spans="1:9" ht="15" customHeight="1" x14ac:dyDescent="0.25">
      <c r="A46" s="122">
        <f t="shared" si="0"/>
        <v>39</v>
      </c>
      <c r="B46" s="141" t="s">
        <v>53</v>
      </c>
      <c r="C46" s="16">
        <f>+[1]geral!I17</f>
        <v>0.41</v>
      </c>
      <c r="D46" s="17">
        <f t="shared" si="1"/>
        <v>120.58823529411764</v>
      </c>
      <c r="E46" s="17">
        <f t="shared" si="2"/>
        <v>0</v>
      </c>
      <c r="F46" s="17">
        <f t="shared" si="8"/>
        <v>0</v>
      </c>
      <c r="G46" s="43">
        <f t="shared" si="5"/>
        <v>7.8947368421052655</v>
      </c>
      <c r="H46" s="20">
        <f t="shared" si="7"/>
        <v>20.588235294117641</v>
      </c>
      <c r="I46" s="142">
        <f t="shared" si="3"/>
        <v>8.3170731707317085</v>
      </c>
    </row>
    <row r="47" spans="1:9" ht="15" customHeight="1" x14ac:dyDescent="0.25">
      <c r="A47" s="122">
        <f t="shared" si="0"/>
        <v>40</v>
      </c>
      <c r="B47" s="141" t="s">
        <v>54</v>
      </c>
      <c r="C47" s="16">
        <f>+[1]geral!I18</f>
        <v>0.41</v>
      </c>
      <c r="D47" s="17">
        <f t="shared" si="1"/>
        <v>120.58823529411764</v>
      </c>
      <c r="E47" s="17">
        <f t="shared" si="2"/>
        <v>0</v>
      </c>
      <c r="F47" s="17">
        <f t="shared" si="8"/>
        <v>0</v>
      </c>
      <c r="G47" s="43">
        <f t="shared" si="5"/>
        <v>7.8947368421052655</v>
      </c>
      <c r="H47" s="20">
        <f t="shared" si="7"/>
        <v>7.8947368421052655</v>
      </c>
      <c r="I47" s="142">
        <f t="shared" si="3"/>
        <v>8.3170731707317085</v>
      </c>
    </row>
    <row r="48" spans="1:9" ht="15" customHeight="1" x14ac:dyDescent="0.25">
      <c r="A48" s="122">
        <f t="shared" si="0"/>
        <v>41</v>
      </c>
      <c r="B48" s="141" t="s">
        <v>55</v>
      </c>
      <c r="C48" s="16">
        <f>+[1]geral!I19</f>
        <v>0.41</v>
      </c>
      <c r="D48" s="17">
        <f t="shared" si="1"/>
        <v>120.58823529411764</v>
      </c>
      <c r="E48" s="17">
        <f t="shared" si="2"/>
        <v>0</v>
      </c>
      <c r="F48" s="17">
        <f t="shared" si="8"/>
        <v>0</v>
      </c>
      <c r="G48" s="43">
        <f t="shared" si="5"/>
        <v>7.8947368421052655</v>
      </c>
      <c r="H48" s="20">
        <f t="shared" si="7"/>
        <v>7.8947368421052655</v>
      </c>
      <c r="I48" s="142">
        <f t="shared" si="3"/>
        <v>8.3170731707317085</v>
      </c>
    </row>
    <row r="49" spans="1:9" ht="15" customHeight="1" x14ac:dyDescent="0.25">
      <c r="A49" s="122">
        <f t="shared" si="0"/>
        <v>42</v>
      </c>
      <c r="B49" s="141" t="s">
        <v>56</v>
      </c>
      <c r="C49" s="16">
        <f>+[1]geral!I20</f>
        <v>0.43</v>
      </c>
      <c r="D49" s="17">
        <f t="shared" si="1"/>
        <v>126.4705882352941</v>
      </c>
      <c r="E49" s="17">
        <f t="shared" si="2"/>
        <v>4.8780487804878092</v>
      </c>
      <c r="F49" s="17">
        <f t="shared" si="8"/>
        <v>4.8780487804878092</v>
      </c>
      <c r="G49" s="43">
        <f t="shared" si="5"/>
        <v>4.8780487804878092</v>
      </c>
      <c r="H49" s="20">
        <f t="shared" si="7"/>
        <v>13.157894736842103</v>
      </c>
      <c r="I49" s="142">
        <f t="shared" si="3"/>
        <v>7.9302325581395356</v>
      </c>
    </row>
    <row r="50" spans="1:9" ht="15" customHeight="1" x14ac:dyDescent="0.25">
      <c r="A50" s="122">
        <f t="shared" si="0"/>
        <v>43</v>
      </c>
      <c r="B50" s="141" t="s">
        <v>57</v>
      </c>
      <c r="C50" s="16">
        <f>+[1]geral!K9</f>
        <v>0.43</v>
      </c>
      <c r="D50" s="17">
        <f t="shared" si="1"/>
        <v>126.4705882352941</v>
      </c>
      <c r="E50" s="17">
        <f t="shared" si="2"/>
        <v>0</v>
      </c>
      <c r="F50" s="17">
        <f>100*((C50/$C$49)-1)</f>
        <v>0</v>
      </c>
      <c r="G50" s="43">
        <f t="shared" si="5"/>
        <v>4.8780487804878092</v>
      </c>
      <c r="H50" s="20">
        <f t="shared" si="7"/>
        <v>13.157894736842103</v>
      </c>
      <c r="I50" s="142">
        <f t="shared" si="3"/>
        <v>7.9302325581395356</v>
      </c>
    </row>
    <row r="51" spans="1:9" ht="15" customHeight="1" x14ac:dyDescent="0.25">
      <c r="A51" s="122">
        <f t="shared" si="0"/>
        <v>44</v>
      </c>
      <c r="B51" s="141" t="s">
        <v>58</v>
      </c>
      <c r="C51" s="16">
        <f>+[1]geral!K10</f>
        <v>0.43</v>
      </c>
      <c r="D51" s="17">
        <f t="shared" si="1"/>
        <v>126.4705882352941</v>
      </c>
      <c r="E51" s="17">
        <f t="shared" si="2"/>
        <v>0</v>
      </c>
      <c r="F51" s="17">
        <f t="shared" ref="F51:F61" si="9">100*((C51/$C$49)-1)</f>
        <v>0</v>
      </c>
      <c r="G51" s="43">
        <f t="shared" si="5"/>
        <v>4.8780487804878092</v>
      </c>
      <c r="H51" s="20">
        <f t="shared" si="7"/>
        <v>13.157894736842103</v>
      </c>
      <c r="I51" s="142">
        <f t="shared" si="3"/>
        <v>7.9302325581395356</v>
      </c>
    </row>
    <row r="52" spans="1:9" ht="15" customHeight="1" x14ac:dyDescent="0.25">
      <c r="A52" s="122">
        <f t="shared" si="0"/>
        <v>45</v>
      </c>
      <c r="B52" s="141" t="s">
        <v>59</v>
      </c>
      <c r="C52" s="16">
        <f>+[1]geral!K11</f>
        <v>0.43</v>
      </c>
      <c r="D52" s="17">
        <f t="shared" si="1"/>
        <v>126.4705882352941</v>
      </c>
      <c r="E52" s="18">
        <f t="shared" si="2"/>
        <v>0</v>
      </c>
      <c r="F52" s="18">
        <f t="shared" si="9"/>
        <v>0</v>
      </c>
      <c r="G52" s="19">
        <f t="shared" si="5"/>
        <v>4.8780487804878092</v>
      </c>
      <c r="H52" s="20">
        <f t="shared" si="7"/>
        <v>13.157894736842103</v>
      </c>
      <c r="I52" s="142">
        <f t="shared" si="3"/>
        <v>7.9302325581395356</v>
      </c>
    </row>
    <row r="53" spans="1:9" ht="15" customHeight="1" x14ac:dyDescent="0.25">
      <c r="A53" s="122">
        <f t="shared" si="0"/>
        <v>46</v>
      </c>
      <c r="B53" s="141" t="s">
        <v>60</v>
      </c>
      <c r="C53" s="16">
        <f>+[1]geral!K12</f>
        <v>0.43</v>
      </c>
      <c r="D53" s="17">
        <f t="shared" si="1"/>
        <v>126.4705882352941</v>
      </c>
      <c r="E53" s="18">
        <f t="shared" si="2"/>
        <v>0</v>
      </c>
      <c r="F53" s="18">
        <f t="shared" si="9"/>
        <v>0</v>
      </c>
      <c r="G53" s="19">
        <f t="shared" si="5"/>
        <v>4.8780487804878092</v>
      </c>
      <c r="H53" s="20">
        <f t="shared" si="7"/>
        <v>13.157894736842103</v>
      </c>
      <c r="I53" s="142">
        <f t="shared" si="3"/>
        <v>7.9302325581395356</v>
      </c>
    </row>
    <row r="54" spans="1:9" ht="15" customHeight="1" x14ac:dyDescent="0.25">
      <c r="A54" s="122">
        <f t="shared" si="0"/>
        <v>47</v>
      </c>
      <c r="B54" s="141" t="s">
        <v>61</v>
      </c>
      <c r="C54" s="143">
        <f>+[1]geral!K13</f>
        <v>0.43</v>
      </c>
      <c r="D54" s="17">
        <f t="shared" si="1"/>
        <v>126.4705882352941</v>
      </c>
      <c r="E54" s="18">
        <f t="shared" si="2"/>
        <v>0</v>
      </c>
      <c r="F54" s="18">
        <f t="shared" si="9"/>
        <v>0</v>
      </c>
      <c r="G54" s="19">
        <f t="shared" si="5"/>
        <v>4.8780487804878092</v>
      </c>
      <c r="H54" s="20">
        <f t="shared" si="7"/>
        <v>13.157894736842103</v>
      </c>
      <c r="I54" s="142">
        <f t="shared" si="3"/>
        <v>7.9302325581395356</v>
      </c>
    </row>
    <row r="55" spans="1:9" ht="15" customHeight="1" x14ac:dyDescent="0.25">
      <c r="A55" s="122">
        <f t="shared" si="0"/>
        <v>48</v>
      </c>
      <c r="B55" s="141" t="s">
        <v>62</v>
      </c>
      <c r="C55" s="16">
        <f>+[1]geral!K14</f>
        <v>0.43</v>
      </c>
      <c r="D55" s="17">
        <f t="shared" si="1"/>
        <v>126.4705882352941</v>
      </c>
      <c r="E55" s="18">
        <f t="shared" si="2"/>
        <v>0</v>
      </c>
      <c r="F55" s="18">
        <f t="shared" si="9"/>
        <v>0</v>
      </c>
      <c r="G55" s="19">
        <f t="shared" si="5"/>
        <v>4.8780487804878092</v>
      </c>
      <c r="H55" s="20">
        <f t="shared" si="7"/>
        <v>13.157894736842103</v>
      </c>
      <c r="I55" s="142">
        <f t="shared" si="3"/>
        <v>7.9302325581395356</v>
      </c>
    </row>
    <row r="56" spans="1:9" ht="15" customHeight="1" x14ac:dyDescent="0.25">
      <c r="A56" s="122">
        <f t="shared" si="0"/>
        <v>49</v>
      </c>
      <c r="B56" s="141" t="s">
        <v>63</v>
      </c>
      <c r="C56" s="16">
        <f>+[1]geral!K15</f>
        <v>0.43</v>
      </c>
      <c r="D56" s="17">
        <f t="shared" si="1"/>
        <v>126.4705882352941</v>
      </c>
      <c r="E56" s="18">
        <f t="shared" si="2"/>
        <v>0</v>
      </c>
      <c r="F56" s="18">
        <f t="shared" si="9"/>
        <v>0</v>
      </c>
      <c r="G56" s="19">
        <f t="shared" si="5"/>
        <v>4.8780487804878092</v>
      </c>
      <c r="H56" s="20">
        <f t="shared" si="7"/>
        <v>13.157894736842103</v>
      </c>
      <c r="I56" s="142">
        <f t="shared" si="3"/>
        <v>7.9302325581395356</v>
      </c>
    </row>
    <row r="57" spans="1:9" ht="15" customHeight="1" x14ac:dyDescent="0.25">
      <c r="A57" s="122">
        <f t="shared" si="0"/>
        <v>50</v>
      </c>
      <c r="B57" s="141" t="s">
        <v>64</v>
      </c>
      <c r="C57" s="16">
        <f>+[1]geral!K16</f>
        <v>0.43</v>
      </c>
      <c r="D57" s="17">
        <f t="shared" si="1"/>
        <v>126.4705882352941</v>
      </c>
      <c r="E57" s="18">
        <f t="shared" si="2"/>
        <v>0</v>
      </c>
      <c r="F57" s="18">
        <f t="shared" si="9"/>
        <v>0</v>
      </c>
      <c r="G57" s="19">
        <f t="shared" si="5"/>
        <v>4.8780487804878092</v>
      </c>
      <c r="H57" s="20">
        <f t="shared" si="7"/>
        <v>13.157894736842103</v>
      </c>
      <c r="I57" s="142">
        <f t="shared" si="3"/>
        <v>7.9302325581395356</v>
      </c>
    </row>
    <row r="58" spans="1:9" ht="15" customHeight="1" x14ac:dyDescent="0.25">
      <c r="A58" s="122">
        <f t="shared" si="0"/>
        <v>51</v>
      </c>
      <c r="B58" s="141" t="s">
        <v>65</v>
      </c>
      <c r="C58" s="16">
        <f>+[1]geral!K17</f>
        <v>0.41</v>
      </c>
      <c r="D58" s="17">
        <f t="shared" si="1"/>
        <v>120.58823529411764</v>
      </c>
      <c r="E58" s="18">
        <f t="shared" si="2"/>
        <v>-4.6511627906976827</v>
      </c>
      <c r="F58" s="18">
        <f t="shared" si="9"/>
        <v>-4.6511627906976827</v>
      </c>
      <c r="G58" s="19">
        <f t="shared" si="5"/>
        <v>0</v>
      </c>
      <c r="H58" s="20">
        <f t="shared" si="7"/>
        <v>7.8947368421052655</v>
      </c>
      <c r="I58" s="142">
        <f t="shared" si="3"/>
        <v>8.3170731707317085</v>
      </c>
    </row>
    <row r="59" spans="1:9" ht="15" customHeight="1" x14ac:dyDescent="0.25">
      <c r="A59" s="122">
        <f t="shared" si="0"/>
        <v>52</v>
      </c>
      <c r="B59" s="141" t="s">
        <v>66</v>
      </c>
      <c r="C59" s="16">
        <f>+[1]geral!K18</f>
        <v>0.41</v>
      </c>
      <c r="D59" s="17">
        <f t="shared" si="1"/>
        <v>120.58823529411764</v>
      </c>
      <c r="E59" s="18">
        <f t="shared" si="2"/>
        <v>0</v>
      </c>
      <c r="F59" s="18">
        <f t="shared" si="9"/>
        <v>-4.6511627906976827</v>
      </c>
      <c r="G59" s="19">
        <f t="shared" si="5"/>
        <v>0</v>
      </c>
      <c r="H59" s="20">
        <f t="shared" si="7"/>
        <v>7.8947368421052655</v>
      </c>
      <c r="I59" s="142">
        <f t="shared" si="3"/>
        <v>8.3170731707317085</v>
      </c>
    </row>
    <row r="60" spans="1:9" ht="15" customHeight="1" x14ac:dyDescent="0.25">
      <c r="A60" s="122">
        <f t="shared" si="0"/>
        <v>53</v>
      </c>
      <c r="B60" s="141" t="s">
        <v>67</v>
      </c>
      <c r="C60" s="16">
        <f>+[1]geral!K19</f>
        <v>0.41</v>
      </c>
      <c r="D60" s="17">
        <f t="shared" si="1"/>
        <v>120.58823529411764</v>
      </c>
      <c r="E60" s="18">
        <f t="shared" si="2"/>
        <v>0</v>
      </c>
      <c r="F60" s="18">
        <f t="shared" si="9"/>
        <v>-4.6511627906976827</v>
      </c>
      <c r="G60" s="19">
        <f t="shared" si="5"/>
        <v>0</v>
      </c>
      <c r="H60" s="20">
        <f t="shared" si="7"/>
        <v>7.8947368421052655</v>
      </c>
      <c r="I60" s="142">
        <f t="shared" si="3"/>
        <v>8.3170731707317085</v>
      </c>
    </row>
    <row r="61" spans="1:9" ht="15" customHeight="1" x14ac:dyDescent="0.25">
      <c r="A61" s="122">
        <f t="shared" si="0"/>
        <v>54</v>
      </c>
      <c r="B61" s="141" t="s">
        <v>68</v>
      </c>
      <c r="C61" s="16">
        <f>+[1]geral!K20</f>
        <v>0.42</v>
      </c>
      <c r="D61" s="17">
        <f t="shared" si="1"/>
        <v>123.52941176470587</v>
      </c>
      <c r="E61" s="18">
        <f t="shared" si="2"/>
        <v>2.4390243902439046</v>
      </c>
      <c r="F61" s="18">
        <f t="shared" si="9"/>
        <v>-2.3255813953488413</v>
      </c>
      <c r="G61" s="19">
        <f t="shared" si="5"/>
        <v>-2.3255813953488413</v>
      </c>
      <c r="H61" s="20">
        <f t="shared" si="7"/>
        <v>2.4390243902439046</v>
      </c>
      <c r="I61" s="142">
        <f t="shared" si="3"/>
        <v>8.1190476190476204</v>
      </c>
    </row>
    <row r="62" spans="1:9" ht="15" customHeight="1" x14ac:dyDescent="0.25">
      <c r="A62" s="122">
        <f t="shared" si="0"/>
        <v>55</v>
      </c>
      <c r="B62" s="141" t="s">
        <v>69</v>
      </c>
      <c r="C62" s="16">
        <f>+[1]geral!M9</f>
        <v>0.42</v>
      </c>
      <c r="D62" s="17">
        <f t="shared" si="1"/>
        <v>123.52941176470587</v>
      </c>
      <c r="E62" s="18">
        <f t="shared" si="2"/>
        <v>0</v>
      </c>
      <c r="F62" s="18">
        <f>100*((C62/$C$61)-1)</f>
        <v>0</v>
      </c>
      <c r="G62" s="19">
        <f t="shared" si="5"/>
        <v>-2.3255813953488413</v>
      </c>
      <c r="H62" s="20">
        <f t="shared" si="7"/>
        <v>2.4390243902439046</v>
      </c>
      <c r="I62" s="142">
        <f t="shared" si="3"/>
        <v>8.1190476190476204</v>
      </c>
    </row>
    <row r="63" spans="1:9" ht="15" customHeight="1" x14ac:dyDescent="0.25">
      <c r="A63" s="122">
        <f t="shared" si="0"/>
        <v>56</v>
      </c>
      <c r="B63" s="141" t="s">
        <v>70</v>
      </c>
      <c r="C63" s="16">
        <f>+[1]geral!M10</f>
        <v>0.43314600000000003</v>
      </c>
      <c r="D63" s="17">
        <f t="shared" si="1"/>
        <v>127.39588235294119</v>
      </c>
      <c r="E63" s="18">
        <f t="shared" si="2"/>
        <v>3.1300000000000106</v>
      </c>
      <c r="F63" s="18">
        <f t="shared" ref="F63:F73" si="10">100*((C63/$C$61)-1)</f>
        <v>3.1300000000000106</v>
      </c>
      <c r="G63" s="19">
        <f t="shared" si="5"/>
        <v>0.73162790697676172</v>
      </c>
      <c r="H63" s="20">
        <f t="shared" si="7"/>
        <v>5.6453658536585571</v>
      </c>
      <c r="I63" s="142">
        <f t="shared" si="3"/>
        <v>7.8726341695409863</v>
      </c>
    </row>
    <row r="64" spans="1:9" ht="15" customHeight="1" x14ac:dyDescent="0.25">
      <c r="A64" s="122">
        <f t="shared" si="0"/>
        <v>57</v>
      </c>
      <c r="B64" s="141" t="s">
        <v>71</v>
      </c>
      <c r="C64" s="16">
        <f>+[1]geral!M11</f>
        <v>0.46749447780000003</v>
      </c>
      <c r="D64" s="17">
        <f t="shared" si="1"/>
        <v>137.49837582352941</v>
      </c>
      <c r="E64" s="18">
        <f t="shared" si="2"/>
        <v>7.9299999999999926</v>
      </c>
      <c r="F64" s="18">
        <f t="shared" si="10"/>
        <v>11.308209000000002</v>
      </c>
      <c r="G64" s="19">
        <f t="shared" si="5"/>
        <v>8.7196460000000151</v>
      </c>
      <c r="H64" s="20">
        <f t="shared" si="7"/>
        <v>14.02304336585367</v>
      </c>
      <c r="I64" s="142">
        <f t="shared" si="3"/>
        <v>7.2942038075984303</v>
      </c>
    </row>
    <row r="65" spans="1:9" ht="15" customHeight="1" x14ac:dyDescent="0.25">
      <c r="A65" s="122">
        <f t="shared" si="0"/>
        <v>58</v>
      </c>
      <c r="B65" s="141" t="s">
        <v>72</v>
      </c>
      <c r="C65" s="16">
        <f>+[1]geral!M12</f>
        <v>0.50442654154620004</v>
      </c>
      <c r="D65" s="17">
        <f t="shared" si="1"/>
        <v>148.36074751358822</v>
      </c>
      <c r="E65" s="18">
        <f t="shared" si="2"/>
        <v>7.8999999999999959</v>
      </c>
      <c r="F65" s="18">
        <f t="shared" si="10"/>
        <v>20.101557511000024</v>
      </c>
      <c r="G65" s="19">
        <f t="shared" si="5"/>
        <v>17.30849803400001</v>
      </c>
      <c r="H65" s="20">
        <f t="shared" si="7"/>
        <v>23.030863791756119</v>
      </c>
      <c r="I65" s="142">
        <f t="shared" si="3"/>
        <v>6.76015181427102</v>
      </c>
    </row>
    <row r="66" spans="1:9" ht="15" customHeight="1" x14ac:dyDescent="0.25">
      <c r="A66" s="122">
        <f t="shared" si="0"/>
        <v>59</v>
      </c>
      <c r="B66" s="141" t="s">
        <v>73</v>
      </c>
      <c r="C66" s="16">
        <f>+[1]geral!M13</f>
        <v>0.50483008277943686</v>
      </c>
      <c r="D66" s="17">
        <f t="shared" si="1"/>
        <v>148.47943611159909</v>
      </c>
      <c r="E66" s="18">
        <f t="shared" si="2"/>
        <v>7.9999999999968985E-2</v>
      </c>
      <c r="F66" s="18">
        <f t="shared" si="10"/>
        <v>20.197638757008775</v>
      </c>
      <c r="G66" s="19">
        <f t="shared" si="5"/>
        <v>17.402344832427175</v>
      </c>
      <c r="H66" s="20">
        <f t="shared" si="7"/>
        <v>23.129288482789477</v>
      </c>
      <c r="I66" s="142">
        <f t="shared" si="3"/>
        <v>6.7547480158583353</v>
      </c>
    </row>
    <row r="67" spans="1:9" ht="15" customHeight="1" x14ac:dyDescent="0.25">
      <c r="A67" s="122">
        <f t="shared" si="0"/>
        <v>60</v>
      </c>
      <c r="B67" s="141" t="s">
        <v>74</v>
      </c>
      <c r="C67" s="16">
        <f>+[1]geral!M14</f>
        <v>0.50483008277943686</v>
      </c>
      <c r="D67" s="17">
        <f t="shared" si="1"/>
        <v>148.47943611159909</v>
      </c>
      <c r="E67" s="18">
        <f t="shared" si="2"/>
        <v>0</v>
      </c>
      <c r="F67" s="18">
        <f t="shared" si="10"/>
        <v>20.197638757008775</v>
      </c>
      <c r="G67" s="19">
        <f t="shared" si="5"/>
        <v>17.402344832427175</v>
      </c>
      <c r="H67" s="20">
        <f t="shared" si="7"/>
        <v>23.129288482789477</v>
      </c>
      <c r="I67" s="142">
        <f t="shared" si="3"/>
        <v>6.7547480158583353</v>
      </c>
    </row>
    <row r="68" spans="1:9" ht="15" customHeight="1" x14ac:dyDescent="0.25">
      <c r="A68" s="122">
        <f t="shared" si="0"/>
        <v>61</v>
      </c>
      <c r="B68" s="141" t="s">
        <v>75</v>
      </c>
      <c r="C68" s="16">
        <f>+[1]geral!M15</f>
        <v>0.56999999999999995</v>
      </c>
      <c r="D68" s="17">
        <f t="shared" si="1"/>
        <v>167.64705882352939</v>
      </c>
      <c r="E68" s="18">
        <f t="shared" si="2"/>
        <v>12.909277684435505</v>
      </c>
      <c r="F68" s="18">
        <f t="shared" si="10"/>
        <v>35.714285714285701</v>
      </c>
      <c r="G68" s="19">
        <f t="shared" si="5"/>
        <v>32.558139534883715</v>
      </c>
      <c r="H68" s="20">
        <f t="shared" si="7"/>
        <v>39.024390243902431</v>
      </c>
      <c r="I68" s="142">
        <f t="shared" si="3"/>
        <v>5.9824561403508776</v>
      </c>
    </row>
    <row r="69" spans="1:9" ht="15" customHeight="1" x14ac:dyDescent="0.25">
      <c r="A69" s="122">
        <f t="shared" si="0"/>
        <v>62</v>
      </c>
      <c r="B69" s="141" t="s">
        <v>76</v>
      </c>
      <c r="C69" s="16">
        <f>+[1]geral!M16</f>
        <v>0.6</v>
      </c>
      <c r="D69" s="17">
        <f t="shared" si="1"/>
        <v>176.47058823529412</v>
      </c>
      <c r="E69" s="18">
        <f t="shared" si="2"/>
        <v>5.2631578947368363</v>
      </c>
      <c r="F69" s="18">
        <f t="shared" si="10"/>
        <v>42.857142857142861</v>
      </c>
      <c r="G69" s="19">
        <f t="shared" si="5"/>
        <v>39.534883720930239</v>
      </c>
      <c r="H69" s="20">
        <f t="shared" si="7"/>
        <v>46.341463414634141</v>
      </c>
      <c r="I69" s="142">
        <f t="shared" si="3"/>
        <v>5.6833333333333336</v>
      </c>
    </row>
    <row r="70" spans="1:9" ht="15" customHeight="1" x14ac:dyDescent="0.25">
      <c r="A70" s="122">
        <f t="shared" si="0"/>
        <v>63</v>
      </c>
      <c r="B70" s="141" t="s">
        <v>77</v>
      </c>
      <c r="C70" s="16">
        <f>+[1]geral!M17</f>
        <v>0.6</v>
      </c>
      <c r="D70" s="17">
        <f t="shared" si="1"/>
        <v>176.47058823529412</v>
      </c>
      <c r="E70" s="18">
        <f t="shared" si="2"/>
        <v>0</v>
      </c>
      <c r="F70" s="18">
        <f t="shared" si="10"/>
        <v>42.857142857142861</v>
      </c>
      <c r="G70" s="19">
        <f t="shared" si="5"/>
        <v>46.341463414634141</v>
      </c>
      <c r="H70" s="20">
        <f t="shared" si="7"/>
        <v>46.341463414634141</v>
      </c>
      <c r="I70" s="142">
        <f t="shared" si="3"/>
        <v>5.6833333333333336</v>
      </c>
    </row>
    <row r="71" spans="1:9" ht="15" customHeight="1" x14ac:dyDescent="0.25">
      <c r="A71" s="122">
        <f t="shared" si="0"/>
        <v>64</v>
      </c>
      <c r="B71" s="141" t="s">
        <v>78</v>
      </c>
      <c r="C71" s="16">
        <f>+[1]geral!M18</f>
        <v>0.6</v>
      </c>
      <c r="D71" s="17">
        <f t="shared" si="1"/>
        <v>176.47058823529412</v>
      </c>
      <c r="E71" s="18">
        <f t="shared" si="2"/>
        <v>0</v>
      </c>
      <c r="F71" s="18">
        <f t="shared" si="10"/>
        <v>42.857142857142861</v>
      </c>
      <c r="G71" s="19">
        <f t="shared" si="5"/>
        <v>46.341463414634141</v>
      </c>
      <c r="H71" s="20">
        <f t="shared" si="7"/>
        <v>46.341463414634141</v>
      </c>
      <c r="I71" s="142">
        <f t="shared" si="3"/>
        <v>5.6833333333333336</v>
      </c>
    </row>
    <row r="72" spans="1:9" ht="15" customHeight="1" x14ac:dyDescent="0.25">
      <c r="A72" s="122">
        <f t="shared" si="0"/>
        <v>65</v>
      </c>
      <c r="B72" s="141" t="s">
        <v>79</v>
      </c>
      <c r="C72" s="16">
        <f>+[1]geral!M19</f>
        <v>0.61</v>
      </c>
      <c r="D72" s="17">
        <f t="shared" si="1"/>
        <v>179.41176470588235</v>
      </c>
      <c r="E72" s="18">
        <f t="shared" si="2"/>
        <v>1.6666666666666607</v>
      </c>
      <c r="F72" s="18">
        <f t="shared" si="10"/>
        <v>45.238095238095234</v>
      </c>
      <c r="G72" s="19">
        <f t="shared" si="5"/>
        <v>48.780487804878049</v>
      </c>
      <c r="H72" s="20">
        <f t="shared" si="7"/>
        <v>48.780487804878049</v>
      </c>
      <c r="I72" s="142">
        <f t="shared" si="3"/>
        <v>5.5901639344262302</v>
      </c>
    </row>
    <row r="73" spans="1:9" ht="15" customHeight="1" x14ac:dyDescent="0.25">
      <c r="A73" s="122">
        <f t="shared" si="0"/>
        <v>66</v>
      </c>
      <c r="B73" s="141" t="s">
        <v>80</v>
      </c>
      <c r="C73" s="16">
        <f>+[1]geral!M20</f>
        <v>0.61</v>
      </c>
      <c r="D73" s="17">
        <f t="shared" si="1"/>
        <v>179.41176470588235</v>
      </c>
      <c r="E73" s="18">
        <f t="shared" si="2"/>
        <v>0</v>
      </c>
      <c r="F73" s="18">
        <f t="shared" si="10"/>
        <v>45.238095238095234</v>
      </c>
      <c r="G73" s="19">
        <f t="shared" si="5"/>
        <v>45.238095238095234</v>
      </c>
      <c r="H73" s="20">
        <f t="shared" si="7"/>
        <v>41.86046511627908</v>
      </c>
      <c r="I73" s="142">
        <f t="shared" si="3"/>
        <v>5.5901639344262302</v>
      </c>
    </row>
    <row r="74" spans="1:9" ht="15" customHeight="1" x14ac:dyDescent="0.25">
      <c r="A74" s="122">
        <f t="shared" ref="A74:A137" si="11">1+A73</f>
        <v>67</v>
      </c>
      <c r="B74" s="141" t="s">
        <v>81</v>
      </c>
      <c r="C74" s="16">
        <f>+[1]geral!C24</f>
        <v>0.60899999999999999</v>
      </c>
      <c r="D74" s="17">
        <f t="shared" ref="D74:D137" si="12">100*C74/$C$8</f>
        <v>179.11764705882351</v>
      </c>
      <c r="E74" s="18">
        <f t="shared" ref="E74:E137" si="13">100*((C74/C73)-1)</f>
        <v>-0.16393442622950616</v>
      </c>
      <c r="F74" s="18">
        <f>100*((C74/$C$73)-1)</f>
        <v>-0.16393442622950616</v>
      </c>
      <c r="G74" s="19">
        <f t="shared" si="5"/>
        <v>44.999999999999993</v>
      </c>
      <c r="H74" s="20">
        <f t="shared" si="7"/>
        <v>41.627906976744185</v>
      </c>
      <c r="I74" s="142">
        <f t="shared" ref="I74:I137" si="14">$C$293/C74</f>
        <v>5.5993431855500821</v>
      </c>
    </row>
    <row r="75" spans="1:9" ht="15" customHeight="1" x14ac:dyDescent="0.25">
      <c r="A75" s="122">
        <f t="shared" si="11"/>
        <v>68</v>
      </c>
      <c r="B75" s="141" t="s">
        <v>82</v>
      </c>
      <c r="C75" s="16">
        <f>+[1]geral!C25</f>
        <v>0.60699999999999998</v>
      </c>
      <c r="D75" s="17">
        <f t="shared" si="12"/>
        <v>178.52941176470586</v>
      </c>
      <c r="E75" s="18">
        <f t="shared" si="13"/>
        <v>-0.3284072249589487</v>
      </c>
      <c r="F75" s="18">
        <f t="shared" ref="F75:F85" si="15">100*((C75/$C$73)-1)</f>
        <v>-0.49180327868852958</v>
      </c>
      <c r="G75" s="19">
        <f t="shared" si="5"/>
        <v>40.137505598574144</v>
      </c>
      <c r="H75" s="20">
        <f t="shared" si="7"/>
        <v>41.16279069767441</v>
      </c>
      <c r="I75" s="142">
        <f t="shared" si="14"/>
        <v>5.6177924217462936</v>
      </c>
    </row>
    <row r="76" spans="1:9" ht="15" customHeight="1" x14ac:dyDescent="0.25">
      <c r="A76" s="122">
        <f t="shared" si="11"/>
        <v>69</v>
      </c>
      <c r="B76" s="141" t="s">
        <v>83</v>
      </c>
      <c r="C76" s="16">
        <f>+[1]geral!C26</f>
        <v>0.64900000000000002</v>
      </c>
      <c r="D76" s="17">
        <f t="shared" si="12"/>
        <v>190.88235294117646</v>
      </c>
      <c r="E76" s="18">
        <f t="shared" si="13"/>
        <v>6.9192751235584993</v>
      </c>
      <c r="F76" s="18">
        <f t="shared" si="15"/>
        <v>6.393442622950829</v>
      </c>
      <c r="G76" s="19">
        <f t="shared" si="5"/>
        <v>38.825169241389482</v>
      </c>
      <c r="H76" s="20">
        <f t="shared" si="7"/>
        <v>50.930232558139529</v>
      </c>
      <c r="I76" s="142">
        <f t="shared" si="14"/>
        <v>5.2542372881355934</v>
      </c>
    </row>
    <row r="77" spans="1:9" ht="15" customHeight="1" x14ac:dyDescent="0.25">
      <c r="A77" s="122">
        <f t="shared" si="11"/>
        <v>70</v>
      </c>
      <c r="B77" s="141" t="s">
        <v>84</v>
      </c>
      <c r="C77" s="16">
        <f>+[1]geral!C27</f>
        <v>0.65</v>
      </c>
      <c r="D77" s="17">
        <f t="shared" si="12"/>
        <v>191.17647058823528</v>
      </c>
      <c r="E77" s="18">
        <f t="shared" si="13"/>
        <v>0.15408320493066618</v>
      </c>
      <c r="F77" s="18">
        <f t="shared" si="15"/>
        <v>6.5573770491803351</v>
      </c>
      <c r="G77" s="19">
        <f t="shared" si="5"/>
        <v>28.859198805752584</v>
      </c>
      <c r="H77" s="20">
        <f t="shared" si="7"/>
        <v>51.162790697674424</v>
      </c>
      <c r="I77" s="142">
        <f t="shared" si="14"/>
        <v>5.2461538461538462</v>
      </c>
    </row>
    <row r="78" spans="1:9" ht="15" customHeight="1" x14ac:dyDescent="0.25">
      <c r="A78" s="122">
        <f t="shared" si="11"/>
        <v>71</v>
      </c>
      <c r="B78" s="141" t="s">
        <v>85</v>
      </c>
      <c r="C78" s="16">
        <f>+[1]geral!C28</f>
        <v>0.65</v>
      </c>
      <c r="D78" s="17">
        <f t="shared" si="12"/>
        <v>191.17647058823528</v>
      </c>
      <c r="E78" s="18">
        <f t="shared" si="13"/>
        <v>0</v>
      </c>
      <c r="F78" s="18">
        <f t="shared" si="15"/>
        <v>6.5573770491803351</v>
      </c>
      <c r="G78" s="19">
        <f t="shared" si="5"/>
        <v>28.756193850672073</v>
      </c>
      <c r="H78" s="20">
        <f t="shared" si="7"/>
        <v>51.162790697674424</v>
      </c>
      <c r="I78" s="142">
        <f t="shared" si="14"/>
        <v>5.2461538461538462</v>
      </c>
    </row>
    <row r="79" spans="1:9" ht="15" customHeight="1" x14ac:dyDescent="0.25">
      <c r="A79" s="122">
        <f t="shared" si="11"/>
        <v>72</v>
      </c>
      <c r="B79" s="141" t="s">
        <v>86</v>
      </c>
      <c r="C79" s="16">
        <f>+[1]geral!C29</f>
        <v>0.65</v>
      </c>
      <c r="D79" s="17">
        <f t="shared" si="12"/>
        <v>191.17647058823528</v>
      </c>
      <c r="E79" s="18">
        <f t="shared" si="13"/>
        <v>0</v>
      </c>
      <c r="F79" s="18">
        <f t="shared" si="15"/>
        <v>6.5573770491803351</v>
      </c>
      <c r="G79" s="19">
        <f t="shared" si="5"/>
        <v>28.756193850672073</v>
      </c>
      <c r="H79" s="20">
        <f t="shared" si="7"/>
        <v>51.162790697674424</v>
      </c>
      <c r="I79" s="142">
        <f t="shared" si="14"/>
        <v>5.2461538461538462</v>
      </c>
    </row>
    <row r="80" spans="1:9" ht="15" customHeight="1" x14ac:dyDescent="0.25">
      <c r="A80" s="122">
        <f t="shared" si="11"/>
        <v>73</v>
      </c>
      <c r="B80" s="141" t="s">
        <v>87</v>
      </c>
      <c r="C80" s="16">
        <f>+[1]geral!C30</f>
        <v>0.73</v>
      </c>
      <c r="D80" s="17">
        <f t="shared" si="12"/>
        <v>214.70588235294116</v>
      </c>
      <c r="E80" s="18">
        <f t="shared" si="13"/>
        <v>12.307692307692308</v>
      </c>
      <c r="F80" s="18">
        <f t="shared" si="15"/>
        <v>19.672131147540984</v>
      </c>
      <c r="G80" s="19">
        <f t="shared" si="5"/>
        <v>28.07017543859649</v>
      </c>
      <c r="H80" s="20">
        <f t="shared" si="7"/>
        <v>69.767441860465112</v>
      </c>
      <c r="I80" s="142">
        <f t="shared" si="14"/>
        <v>4.6712328767123292</v>
      </c>
    </row>
    <row r="81" spans="1:9" ht="15" customHeight="1" x14ac:dyDescent="0.25">
      <c r="A81" s="122">
        <f t="shared" si="11"/>
        <v>74</v>
      </c>
      <c r="B81" s="141" t="s">
        <v>88</v>
      </c>
      <c r="C81" s="16">
        <f>+[1]geral!C31</f>
        <v>0.73</v>
      </c>
      <c r="D81" s="17">
        <f t="shared" si="12"/>
        <v>214.70588235294116</v>
      </c>
      <c r="E81" s="18">
        <f t="shared" si="13"/>
        <v>0</v>
      </c>
      <c r="F81" s="18">
        <f t="shared" si="15"/>
        <v>19.672131147540984</v>
      </c>
      <c r="G81" s="19">
        <f t="shared" si="5"/>
        <v>21.666666666666679</v>
      </c>
      <c r="H81" s="20">
        <f t="shared" si="7"/>
        <v>69.767441860465112</v>
      </c>
      <c r="I81" s="142">
        <f t="shared" si="14"/>
        <v>4.6712328767123292</v>
      </c>
    </row>
    <row r="82" spans="1:9" ht="15" customHeight="1" x14ac:dyDescent="0.25">
      <c r="A82" s="122">
        <f t="shared" si="11"/>
        <v>75</v>
      </c>
      <c r="B82" s="141" t="s">
        <v>89</v>
      </c>
      <c r="C82" s="16">
        <f>+[1]geral!C32</f>
        <v>0.73</v>
      </c>
      <c r="D82" s="17">
        <f t="shared" si="12"/>
        <v>214.70588235294116</v>
      </c>
      <c r="E82" s="18">
        <f t="shared" si="13"/>
        <v>0</v>
      </c>
      <c r="F82" s="18">
        <f t="shared" si="15"/>
        <v>19.672131147540984</v>
      </c>
      <c r="G82" s="19">
        <f t="shared" si="5"/>
        <v>21.666666666666679</v>
      </c>
      <c r="H82" s="20">
        <f t="shared" si="7"/>
        <v>78.048780487804876</v>
      </c>
      <c r="I82" s="142">
        <f t="shared" si="14"/>
        <v>4.6712328767123292</v>
      </c>
    </row>
    <row r="83" spans="1:9" ht="15" customHeight="1" x14ac:dyDescent="0.25">
      <c r="A83" s="122">
        <f t="shared" si="11"/>
        <v>76</v>
      </c>
      <c r="B83" s="141" t="s">
        <v>90</v>
      </c>
      <c r="C83" s="16">
        <f>+[1]geral!C33</f>
        <v>0.73</v>
      </c>
      <c r="D83" s="17">
        <f t="shared" si="12"/>
        <v>214.70588235294116</v>
      </c>
      <c r="E83" s="18">
        <f t="shared" si="13"/>
        <v>0</v>
      </c>
      <c r="F83" s="18">
        <f t="shared" si="15"/>
        <v>19.672131147540984</v>
      </c>
      <c r="G83" s="19">
        <f t="shared" si="5"/>
        <v>21.666666666666679</v>
      </c>
      <c r="H83" s="20">
        <f t="shared" si="7"/>
        <v>78.048780487804876</v>
      </c>
      <c r="I83" s="142">
        <f t="shared" si="14"/>
        <v>4.6712328767123292</v>
      </c>
    </row>
    <row r="84" spans="1:9" ht="15" customHeight="1" x14ac:dyDescent="0.25">
      <c r="A84" s="122">
        <f t="shared" si="11"/>
        <v>77</v>
      </c>
      <c r="B84" s="141" t="s">
        <v>91</v>
      </c>
      <c r="C84" s="16">
        <f>+[1]geral!C34</f>
        <v>0.80700000000000005</v>
      </c>
      <c r="D84" s="17">
        <f t="shared" si="12"/>
        <v>237.35294117647058</v>
      </c>
      <c r="E84" s="18">
        <f t="shared" si="13"/>
        <v>10.547945205479458</v>
      </c>
      <c r="F84" s="18">
        <f t="shared" si="15"/>
        <v>32.295081967213136</v>
      </c>
      <c r="G84" s="19">
        <f>100*((C84/C72)-1)</f>
        <v>32.295081967213136</v>
      </c>
      <c r="H84" s="20">
        <f t="shared" si="7"/>
        <v>96.82926829268294</v>
      </c>
      <c r="I84" s="142">
        <f t="shared" si="14"/>
        <v>4.2255266418835191</v>
      </c>
    </row>
    <row r="85" spans="1:9" ht="15" customHeight="1" x14ac:dyDescent="0.25">
      <c r="A85" s="122">
        <f t="shared" si="11"/>
        <v>78</v>
      </c>
      <c r="B85" s="141" t="s">
        <v>92</v>
      </c>
      <c r="C85" s="16">
        <f>+[1]geral!C35</f>
        <v>0.80700000000000005</v>
      </c>
      <c r="D85" s="17">
        <f t="shared" si="12"/>
        <v>237.35294117647058</v>
      </c>
      <c r="E85" s="18">
        <f t="shared" si="13"/>
        <v>0</v>
      </c>
      <c r="F85" s="18">
        <f t="shared" si="15"/>
        <v>32.295081967213136</v>
      </c>
      <c r="G85" s="19">
        <f t="shared" ref="G85:G148" si="16">100*((C85/C73)-1)</f>
        <v>32.295081967213136</v>
      </c>
      <c r="H85" s="20">
        <f t="shared" si="7"/>
        <v>92.142857142857167</v>
      </c>
      <c r="I85" s="142">
        <f t="shared" si="14"/>
        <v>4.2255266418835191</v>
      </c>
    </row>
    <row r="86" spans="1:9" ht="15" customHeight="1" x14ac:dyDescent="0.25">
      <c r="A86" s="122">
        <f t="shared" si="11"/>
        <v>79</v>
      </c>
      <c r="B86" s="141" t="s">
        <v>93</v>
      </c>
      <c r="C86" s="16">
        <f>+[1]geral!E24</f>
        <v>0.76700000000000002</v>
      </c>
      <c r="D86" s="17">
        <f t="shared" si="12"/>
        <v>225.58823529411765</v>
      </c>
      <c r="E86" s="18">
        <f t="shared" si="13"/>
        <v>-4.9566294919454856</v>
      </c>
      <c r="F86" s="18">
        <f t="shared" ref="F86:F92" si="17">100*((C86/$C$85)-1)</f>
        <v>-4.9566294919454856</v>
      </c>
      <c r="G86" s="19">
        <f t="shared" si="16"/>
        <v>25.94417077175699</v>
      </c>
      <c r="H86" s="20">
        <f t="shared" si="7"/>
        <v>82.619047619047635</v>
      </c>
      <c r="I86" s="142">
        <f t="shared" si="14"/>
        <v>4.4458930899608866</v>
      </c>
    </row>
    <row r="87" spans="1:9" ht="15" customHeight="1" x14ac:dyDescent="0.25">
      <c r="A87" s="122">
        <f t="shared" si="11"/>
        <v>80</v>
      </c>
      <c r="B87" s="141" t="s">
        <v>94</v>
      </c>
      <c r="C87" s="16">
        <f>+[1]geral!E25</f>
        <v>0.76700000000000002</v>
      </c>
      <c r="D87" s="17">
        <f t="shared" si="12"/>
        <v>225.58823529411765</v>
      </c>
      <c r="E87" s="18">
        <f t="shared" si="13"/>
        <v>0</v>
      </c>
      <c r="F87" s="18">
        <f t="shared" si="17"/>
        <v>-4.9566294919454856</v>
      </c>
      <c r="G87" s="19">
        <f t="shared" si="16"/>
        <v>26.35914332784186</v>
      </c>
      <c r="H87" s="20">
        <f t="shared" si="7"/>
        <v>77.076551555364702</v>
      </c>
      <c r="I87" s="142">
        <f t="shared" si="14"/>
        <v>4.4458930899608866</v>
      </c>
    </row>
    <row r="88" spans="1:9" ht="15" customHeight="1" x14ac:dyDescent="0.25">
      <c r="A88" s="122">
        <f t="shared" si="11"/>
        <v>81</v>
      </c>
      <c r="B88" s="141" t="s">
        <v>95</v>
      </c>
      <c r="C88" s="16">
        <f>+[1]geral!E26</f>
        <v>0.76700000000000002</v>
      </c>
      <c r="D88" s="17">
        <f t="shared" si="12"/>
        <v>225.58823529411765</v>
      </c>
      <c r="E88" s="18">
        <f t="shared" si="13"/>
        <v>0</v>
      </c>
      <c r="F88" s="18">
        <f t="shared" si="17"/>
        <v>-4.9566294919454856</v>
      </c>
      <c r="G88" s="19">
        <f t="shared" si="16"/>
        <v>18.181818181818187</v>
      </c>
      <c r="H88" s="20">
        <f t="shared" si="7"/>
        <v>64.066109103460292</v>
      </c>
      <c r="I88" s="142">
        <f t="shared" si="14"/>
        <v>4.4458930899608866</v>
      </c>
    </row>
    <row r="89" spans="1:9" ht="15" customHeight="1" x14ac:dyDescent="0.25">
      <c r="A89" s="122">
        <f t="shared" si="11"/>
        <v>82</v>
      </c>
      <c r="B89" s="141" t="s">
        <v>96</v>
      </c>
      <c r="C89" s="16">
        <f>+[1]geral!E27</f>
        <v>0.76700000000000002</v>
      </c>
      <c r="D89" s="17">
        <f t="shared" si="12"/>
        <v>225.58823529411765</v>
      </c>
      <c r="E89" s="18">
        <f t="shared" si="13"/>
        <v>0</v>
      </c>
      <c r="F89" s="18">
        <f t="shared" si="17"/>
        <v>-4.9566294919454856</v>
      </c>
      <c r="G89" s="19">
        <f t="shared" si="16"/>
        <v>17.999999999999993</v>
      </c>
      <c r="H89" s="20">
        <f t="shared" si="7"/>
        <v>52.053854590788042</v>
      </c>
      <c r="I89" s="142">
        <f t="shared" si="14"/>
        <v>4.4458930899608866</v>
      </c>
    </row>
    <row r="90" spans="1:9" ht="15" customHeight="1" x14ac:dyDescent="0.25">
      <c r="A90" s="122">
        <f t="shared" si="11"/>
        <v>83</v>
      </c>
      <c r="B90" s="141" t="s">
        <v>97</v>
      </c>
      <c r="C90" s="16">
        <f>+[1]geral!E28</f>
        <v>0.76700000000000002</v>
      </c>
      <c r="D90" s="17">
        <f t="shared" si="12"/>
        <v>225.58823529411765</v>
      </c>
      <c r="E90" s="18">
        <f t="shared" si="13"/>
        <v>0</v>
      </c>
      <c r="F90" s="18">
        <f t="shared" si="17"/>
        <v>-4.9566294919454856</v>
      </c>
      <c r="G90" s="19">
        <f t="shared" si="16"/>
        <v>17.999999999999993</v>
      </c>
      <c r="H90" s="20">
        <f t="shared" si="7"/>
        <v>51.932308743793044</v>
      </c>
      <c r="I90" s="142">
        <f t="shared" si="14"/>
        <v>4.4458930899608866</v>
      </c>
    </row>
    <row r="91" spans="1:9" ht="15" customHeight="1" x14ac:dyDescent="0.25">
      <c r="A91" s="122">
        <f t="shared" si="11"/>
        <v>84</v>
      </c>
      <c r="B91" s="141" t="s">
        <v>98</v>
      </c>
      <c r="C91" s="16">
        <f>+[1]geral!E29</f>
        <v>0.76700000000000002</v>
      </c>
      <c r="D91" s="17">
        <f t="shared" si="12"/>
        <v>225.58823529411765</v>
      </c>
      <c r="E91" s="18">
        <f t="shared" si="13"/>
        <v>0</v>
      </c>
      <c r="F91" s="18">
        <f t="shared" si="17"/>
        <v>-4.9566294919454856</v>
      </c>
      <c r="G91" s="19">
        <f t="shared" si="16"/>
        <v>17.999999999999993</v>
      </c>
      <c r="H91" s="20">
        <f t="shared" si="7"/>
        <v>51.932308743793044</v>
      </c>
      <c r="I91" s="142">
        <f t="shared" si="14"/>
        <v>4.4458930899608866</v>
      </c>
    </row>
    <row r="92" spans="1:9" ht="15" customHeight="1" x14ac:dyDescent="0.25">
      <c r="A92" s="122">
        <f t="shared" si="11"/>
        <v>85</v>
      </c>
      <c r="B92" s="141" t="s">
        <v>99</v>
      </c>
      <c r="C92" s="16">
        <f>+[1]geral!E30</f>
        <v>0.81799999999999995</v>
      </c>
      <c r="D92" s="17">
        <f t="shared" si="12"/>
        <v>240.58823529411762</v>
      </c>
      <c r="E92" s="18">
        <f t="shared" si="13"/>
        <v>6.6492829204693571</v>
      </c>
      <c r="F92" s="18">
        <f t="shared" si="17"/>
        <v>1.3630731102849847</v>
      </c>
      <c r="G92" s="19">
        <f t="shared" si="16"/>
        <v>12.05479452054794</v>
      </c>
      <c r="H92" s="20">
        <f t="shared" si="7"/>
        <v>43.508771929824562</v>
      </c>
      <c r="I92" s="142">
        <f t="shared" si="14"/>
        <v>4.168704156479218</v>
      </c>
    </row>
    <row r="93" spans="1:9" ht="15" customHeight="1" x14ac:dyDescent="0.25">
      <c r="A93" s="122">
        <f t="shared" si="11"/>
        <v>86</v>
      </c>
      <c r="B93" s="141" t="s">
        <v>100</v>
      </c>
      <c r="C93" s="16">
        <f>+[1]geral!E31</f>
        <v>0.81799999999999995</v>
      </c>
      <c r="D93" s="17">
        <f t="shared" si="12"/>
        <v>240.58823529411762</v>
      </c>
      <c r="E93" s="18">
        <f t="shared" si="13"/>
        <v>0</v>
      </c>
      <c r="F93" s="18">
        <f>100*((C93/$C$85)-1)</f>
        <v>1.3630731102849847</v>
      </c>
      <c r="G93" s="19">
        <f t="shared" si="16"/>
        <v>12.05479452054794</v>
      </c>
      <c r="H93" s="20">
        <f t="shared" si="7"/>
        <v>36.333333333333329</v>
      </c>
      <c r="I93" s="142">
        <f t="shared" si="14"/>
        <v>4.168704156479218</v>
      </c>
    </row>
    <row r="94" spans="1:9" ht="15" customHeight="1" x14ac:dyDescent="0.25">
      <c r="A94" s="122">
        <f t="shared" si="11"/>
        <v>87</v>
      </c>
      <c r="B94" s="141" t="s">
        <v>101</v>
      </c>
      <c r="C94" s="16">
        <f>+[1]geral!E32</f>
        <v>0.84199999999999997</v>
      </c>
      <c r="D94" s="17">
        <f t="shared" si="12"/>
        <v>247.64705882352939</v>
      </c>
      <c r="E94" s="18">
        <f t="shared" si="13"/>
        <v>2.9339853300733632</v>
      </c>
      <c r="F94" s="18">
        <f>100*((C94/$C$85)-1)</f>
        <v>4.3370508054522805</v>
      </c>
      <c r="G94" s="19">
        <f t="shared" si="16"/>
        <v>15.342465753424662</v>
      </c>
      <c r="H94" s="20">
        <f t="shared" si="7"/>
        <v>40.333333333333329</v>
      </c>
      <c r="I94" s="142">
        <f t="shared" si="14"/>
        <v>4.0498812351543947</v>
      </c>
    </row>
    <row r="95" spans="1:9" ht="15" customHeight="1" x14ac:dyDescent="0.25">
      <c r="A95" s="122">
        <f t="shared" si="11"/>
        <v>88</v>
      </c>
      <c r="B95" s="141" t="s">
        <v>102</v>
      </c>
      <c r="C95" s="16">
        <f>+[1]geral!E33</f>
        <v>0.88600000000000001</v>
      </c>
      <c r="D95" s="17">
        <f t="shared" si="12"/>
        <v>260.58823529411762</v>
      </c>
      <c r="E95" s="18">
        <f t="shared" si="13"/>
        <v>5.2256532066508266</v>
      </c>
      <c r="F95" s="18">
        <f>100*((C95/$C$85)-1)</f>
        <v>9.789343246592308</v>
      </c>
      <c r="G95" s="19">
        <f t="shared" si="16"/>
        <v>21.36986301369863</v>
      </c>
      <c r="H95" s="20">
        <f t="shared" si="7"/>
        <v>47.666666666666679</v>
      </c>
      <c r="I95" s="142">
        <f t="shared" si="14"/>
        <v>3.8487584650112869</v>
      </c>
    </row>
    <row r="96" spans="1:9" ht="15" customHeight="1" x14ac:dyDescent="0.25">
      <c r="A96" s="122">
        <f t="shared" si="11"/>
        <v>89</v>
      </c>
      <c r="B96" s="141" t="s">
        <v>103</v>
      </c>
      <c r="C96" s="16">
        <f>+[1]geral!E34</f>
        <v>0.89449999999999996</v>
      </c>
      <c r="D96" s="17">
        <f t="shared" si="12"/>
        <v>263.08823529411762</v>
      </c>
      <c r="E96" s="18">
        <f t="shared" si="13"/>
        <v>0.95936794582391904</v>
      </c>
      <c r="F96" s="18">
        <f>100*((C96/$C$85)-1)</f>
        <v>10.842627013630723</v>
      </c>
      <c r="G96" s="19">
        <f t="shared" si="16"/>
        <v>10.842627013630723</v>
      </c>
      <c r="H96" s="20">
        <f t="shared" si="7"/>
        <v>46.639344262295083</v>
      </c>
      <c r="I96" s="142">
        <f t="shared" si="14"/>
        <v>3.812185578535495</v>
      </c>
    </row>
    <row r="97" spans="1:14" ht="15" customHeight="1" x14ac:dyDescent="0.25">
      <c r="A97" s="122">
        <f t="shared" si="11"/>
        <v>90</v>
      </c>
      <c r="B97" s="141" t="s">
        <v>104</v>
      </c>
      <c r="C97" s="16">
        <f>+[1]geral!E35</f>
        <v>0.90200000000000002</v>
      </c>
      <c r="D97" s="17">
        <f t="shared" si="12"/>
        <v>265.29411764705884</v>
      </c>
      <c r="E97" s="18">
        <f t="shared" si="13"/>
        <v>0.83845723868083422</v>
      </c>
      <c r="F97" s="18">
        <f>100*((C97/$C$85)-1)</f>
        <v>11.771995043370499</v>
      </c>
      <c r="G97" s="19">
        <f t="shared" si="16"/>
        <v>11.771995043370499</v>
      </c>
      <c r="H97" s="20">
        <f t="shared" ref="H97:H160" si="18">100*(C97/C73-1)</f>
        <v>47.868852459016395</v>
      </c>
      <c r="I97" s="142">
        <f t="shared" si="14"/>
        <v>3.780487804878049</v>
      </c>
    </row>
    <row r="98" spans="1:14" ht="15" customHeight="1" x14ac:dyDescent="0.25">
      <c r="A98" s="122">
        <f t="shared" si="11"/>
        <v>91</v>
      </c>
      <c r="B98" s="141" t="s">
        <v>105</v>
      </c>
      <c r="C98" s="16">
        <f>+[1]geral!G24</f>
        <v>0.872</v>
      </c>
      <c r="D98" s="17">
        <f t="shared" si="12"/>
        <v>256.47058823529409</v>
      </c>
      <c r="E98" s="18">
        <f t="shared" si="13"/>
        <v>-3.3259423503326002</v>
      </c>
      <c r="F98" s="18">
        <f t="shared" ref="F98:F109" si="19">100*((C98/$C$97)-1)</f>
        <v>-3.3259423503326002</v>
      </c>
      <c r="G98" s="19">
        <f t="shared" si="16"/>
        <v>13.689700130378091</v>
      </c>
      <c r="H98" s="20">
        <f t="shared" si="18"/>
        <v>43.185550082101813</v>
      </c>
      <c r="I98" s="142">
        <f t="shared" si="14"/>
        <v>3.9105504587155964</v>
      </c>
      <c r="N98" s="10"/>
    </row>
    <row r="99" spans="1:14" ht="15" customHeight="1" x14ac:dyDescent="0.25">
      <c r="A99" s="122">
        <f t="shared" si="11"/>
        <v>92</v>
      </c>
      <c r="B99" s="141" t="s">
        <v>106</v>
      </c>
      <c r="C99" s="16">
        <f>+[1]geral!G25</f>
        <v>0.88639999999999997</v>
      </c>
      <c r="D99" s="17">
        <f t="shared" si="12"/>
        <v>260.70588235294116</v>
      </c>
      <c r="E99" s="18">
        <f t="shared" si="13"/>
        <v>1.6513761467889854</v>
      </c>
      <c r="F99" s="18">
        <f t="shared" si="19"/>
        <v>-1.7294900221729526</v>
      </c>
      <c r="G99" s="19">
        <f t="shared" si="16"/>
        <v>15.567144719687075</v>
      </c>
      <c r="H99" s="20">
        <f t="shared" si="18"/>
        <v>46.029654036243819</v>
      </c>
      <c r="I99" s="142">
        <f t="shared" si="14"/>
        <v>3.84702166064982</v>
      </c>
      <c r="N99" s="10"/>
    </row>
    <row r="100" spans="1:14" ht="15" customHeight="1" x14ac:dyDescent="0.25">
      <c r="A100" s="122">
        <f t="shared" si="11"/>
        <v>93</v>
      </c>
      <c r="B100" s="141" t="s">
        <v>107</v>
      </c>
      <c r="C100" s="16">
        <f>+[1]geral!G26</f>
        <v>0.89839999999999998</v>
      </c>
      <c r="D100" s="17">
        <f t="shared" si="12"/>
        <v>264.23529411764707</v>
      </c>
      <c r="E100" s="18">
        <f t="shared" si="13"/>
        <v>1.3537906137184086</v>
      </c>
      <c r="F100" s="18">
        <f t="shared" si="19"/>
        <v>-0.39911308203991469</v>
      </c>
      <c r="G100" s="19">
        <f t="shared" si="16"/>
        <v>17.131681877444581</v>
      </c>
      <c r="H100" s="20">
        <f t="shared" si="18"/>
        <v>38.428351309707232</v>
      </c>
      <c r="I100" s="142">
        <f t="shared" si="14"/>
        <v>3.7956366874443459</v>
      </c>
      <c r="N100" s="10"/>
    </row>
    <row r="101" spans="1:14" ht="15" customHeight="1" x14ac:dyDescent="0.25">
      <c r="A101" s="122">
        <f t="shared" si="11"/>
        <v>94</v>
      </c>
      <c r="B101" s="141" t="s">
        <v>108</v>
      </c>
      <c r="C101" s="16">
        <f>+[1]geral!G27</f>
        <v>0.9698</v>
      </c>
      <c r="D101" s="17">
        <f t="shared" si="12"/>
        <v>285.23529411764707</v>
      </c>
      <c r="E101" s="18">
        <f t="shared" si="13"/>
        <v>7.9474621549421309</v>
      </c>
      <c r="F101" s="18">
        <f t="shared" si="19"/>
        <v>7.5166297117516656</v>
      </c>
      <c r="G101" s="19">
        <f t="shared" si="16"/>
        <v>26.440677966101699</v>
      </c>
      <c r="H101" s="20">
        <f t="shared" si="18"/>
        <v>49.2</v>
      </c>
      <c r="I101" s="142">
        <f t="shared" si="14"/>
        <v>3.5161889049288515</v>
      </c>
      <c r="N101" s="10"/>
    </row>
    <row r="102" spans="1:14" ht="15" customHeight="1" x14ac:dyDescent="0.25">
      <c r="A102" s="122">
        <f t="shared" si="11"/>
        <v>95</v>
      </c>
      <c r="B102" s="141" t="s">
        <v>109</v>
      </c>
      <c r="C102" s="16">
        <f>+[1]geral!G28</f>
        <v>0.99029999999999996</v>
      </c>
      <c r="D102" s="17">
        <f t="shared" si="12"/>
        <v>291.26470588235293</v>
      </c>
      <c r="E102" s="18">
        <f>100*((C102/C101)-1)</f>
        <v>2.1138379047226152</v>
      </c>
      <c r="F102" s="18">
        <f t="shared" si="19"/>
        <v>9.7893569844789354</v>
      </c>
      <c r="G102" s="19">
        <f t="shared" si="16"/>
        <v>29.113428943937404</v>
      </c>
      <c r="H102" s="20">
        <f t="shared" si="18"/>
        <v>52.353846153846149</v>
      </c>
      <c r="I102" s="142">
        <f t="shared" si="14"/>
        <v>3.4434009895991116</v>
      </c>
      <c r="N102" s="10"/>
    </row>
    <row r="103" spans="1:14" ht="15" customHeight="1" x14ac:dyDescent="0.25">
      <c r="A103" s="122">
        <f t="shared" si="11"/>
        <v>96</v>
      </c>
      <c r="B103" s="141" t="s">
        <v>110</v>
      </c>
      <c r="C103" s="16">
        <f>+[1]geral!G29</f>
        <v>0.98877000000000004</v>
      </c>
      <c r="D103" s="17">
        <f t="shared" si="12"/>
        <v>290.81470588235294</v>
      </c>
      <c r="E103" s="18">
        <f t="shared" si="13"/>
        <v>-0.15449863677672315</v>
      </c>
      <c r="F103" s="18">
        <f t="shared" si="19"/>
        <v>9.6197339246119729</v>
      </c>
      <c r="G103" s="19">
        <f t="shared" si="16"/>
        <v>28.913950456323345</v>
      </c>
      <c r="H103" s="20">
        <f t="shared" si="18"/>
        <v>52.118461538461538</v>
      </c>
      <c r="I103" s="142">
        <f t="shared" si="14"/>
        <v>3.4487292292444147</v>
      </c>
      <c r="N103" s="10"/>
    </row>
    <row r="104" spans="1:14" ht="15" customHeight="1" x14ac:dyDescent="0.25">
      <c r="A104" s="122">
        <f t="shared" si="11"/>
        <v>97</v>
      </c>
      <c r="B104" s="141" t="s">
        <v>111</v>
      </c>
      <c r="C104" s="16">
        <f>+[1]geral!G30</f>
        <v>1.079</v>
      </c>
      <c r="D104" s="17">
        <f t="shared" si="12"/>
        <v>317.35294117647055</v>
      </c>
      <c r="E104" s="18">
        <f t="shared" si="13"/>
        <v>9.1254791306370375</v>
      </c>
      <c r="F104" s="18">
        <f t="shared" si="19"/>
        <v>19.62305986696229</v>
      </c>
      <c r="G104" s="19">
        <f t="shared" si="16"/>
        <v>31.907090464547672</v>
      </c>
      <c r="H104" s="20">
        <f t="shared" si="18"/>
        <v>47.808219178082197</v>
      </c>
      <c r="I104" s="142">
        <f t="shared" si="14"/>
        <v>3.1603336422613535</v>
      </c>
      <c r="N104" s="10"/>
    </row>
    <row r="105" spans="1:14" ht="15" customHeight="1" x14ac:dyDescent="0.25">
      <c r="A105" s="122">
        <f t="shared" si="11"/>
        <v>98</v>
      </c>
      <c r="B105" s="141" t="s">
        <v>112</v>
      </c>
      <c r="C105" s="16">
        <f>+[1]geral!G31</f>
        <v>1.0714999999999999</v>
      </c>
      <c r="D105" s="17">
        <f t="shared" si="12"/>
        <v>315.14705882352939</v>
      </c>
      <c r="E105" s="18">
        <f t="shared" si="13"/>
        <v>-0.69508804448563666</v>
      </c>
      <c r="F105" s="18">
        <f t="shared" si="19"/>
        <v>18.791574279379141</v>
      </c>
      <c r="G105" s="19">
        <f t="shared" si="16"/>
        <v>30.990220048899751</v>
      </c>
      <c r="H105" s="20">
        <f t="shared" si="18"/>
        <v>46.780821917808211</v>
      </c>
      <c r="I105" s="142">
        <f t="shared" si="14"/>
        <v>3.1824545030331315</v>
      </c>
      <c r="N105" s="10"/>
    </row>
    <row r="106" spans="1:14" ht="15" customHeight="1" x14ac:dyDescent="0.25">
      <c r="A106" s="122">
        <f t="shared" si="11"/>
        <v>99</v>
      </c>
      <c r="B106" s="141" t="s">
        <v>113</v>
      </c>
      <c r="C106" s="16">
        <f>+[1]geral!G32</f>
        <v>1.0720000000000001</v>
      </c>
      <c r="D106" s="17">
        <f t="shared" si="12"/>
        <v>315.29411764705878</v>
      </c>
      <c r="E106" s="18">
        <f t="shared" si="13"/>
        <v>4.666355576297132E-2</v>
      </c>
      <c r="F106" s="18">
        <f t="shared" si="19"/>
        <v>18.847006651884701</v>
      </c>
      <c r="G106" s="19">
        <f t="shared" si="16"/>
        <v>27.315914489311165</v>
      </c>
      <c r="H106" s="20">
        <f t="shared" si="18"/>
        <v>46.849315068493169</v>
      </c>
      <c r="I106" s="142">
        <f t="shared" si="14"/>
        <v>3.1809701492537314</v>
      </c>
      <c r="N106" s="10"/>
    </row>
    <row r="107" spans="1:14" ht="15" customHeight="1" x14ac:dyDescent="0.25">
      <c r="A107" s="122">
        <f t="shared" si="11"/>
        <v>100</v>
      </c>
      <c r="B107" s="141" t="s">
        <v>114</v>
      </c>
      <c r="C107" s="16">
        <f>+[1]geral!G33</f>
        <v>1.0740000000000001</v>
      </c>
      <c r="D107" s="17">
        <f>100*C107/$C$8</f>
        <v>315.88235294117646</v>
      </c>
      <c r="E107" s="18">
        <f t="shared" si="13"/>
        <v>0.18656716417910779</v>
      </c>
      <c r="F107" s="18">
        <f t="shared" si="19"/>
        <v>19.068736141906871</v>
      </c>
      <c r="G107" s="19">
        <f t="shared" si="16"/>
        <v>21.218961625282162</v>
      </c>
      <c r="H107" s="20">
        <f t="shared" si="18"/>
        <v>47.12328767123288</v>
      </c>
      <c r="I107" s="142">
        <f t="shared" si="14"/>
        <v>3.175046554934823</v>
      </c>
      <c r="N107" s="10"/>
    </row>
    <row r="108" spans="1:14" ht="15" customHeight="1" x14ac:dyDescent="0.25">
      <c r="A108" s="122">
        <f t="shared" si="11"/>
        <v>101</v>
      </c>
      <c r="B108" s="141" t="s">
        <v>115</v>
      </c>
      <c r="C108" s="16">
        <f>+[1]geral!G34</f>
        <v>1.2892999999999999</v>
      </c>
      <c r="D108" s="17">
        <f t="shared" si="12"/>
        <v>379.2058823529411</v>
      </c>
      <c r="E108" s="18">
        <f t="shared" si="13"/>
        <v>20.046554934823078</v>
      </c>
      <c r="F108" s="18">
        <f t="shared" si="19"/>
        <v>42.937915742793777</v>
      </c>
      <c r="G108" s="19">
        <f t="shared" si="16"/>
        <v>44.136389044158754</v>
      </c>
      <c r="H108" s="20">
        <f t="shared" si="18"/>
        <v>59.764560099132559</v>
      </c>
      <c r="I108" s="142">
        <f t="shared" si="14"/>
        <v>2.6448460404870864</v>
      </c>
      <c r="N108" s="10"/>
    </row>
    <row r="109" spans="1:14" ht="15" customHeight="1" x14ac:dyDescent="0.25">
      <c r="A109" s="122">
        <f t="shared" si="11"/>
        <v>102</v>
      </c>
      <c r="B109" s="141" t="s">
        <v>116</v>
      </c>
      <c r="C109" s="16">
        <f>+[1]geral!G35</f>
        <v>1.369</v>
      </c>
      <c r="D109" s="17">
        <f t="shared" si="12"/>
        <v>402.64705882352939</v>
      </c>
      <c r="E109" s="18">
        <f t="shared" si="13"/>
        <v>6.1816489567982691</v>
      </c>
      <c r="F109" s="18">
        <f t="shared" si="19"/>
        <v>51.773835920177369</v>
      </c>
      <c r="G109" s="19">
        <f t="shared" si="16"/>
        <v>51.773835920177369</v>
      </c>
      <c r="H109" s="20">
        <f t="shared" si="18"/>
        <v>69.640644361833949</v>
      </c>
      <c r="I109" s="142">
        <f t="shared" si="14"/>
        <v>2.4908692476260046</v>
      </c>
      <c r="N109" s="10"/>
    </row>
    <row r="110" spans="1:14" ht="15" customHeight="1" x14ac:dyDescent="0.25">
      <c r="A110" s="122">
        <f t="shared" si="11"/>
        <v>103</v>
      </c>
      <c r="B110" s="141" t="s">
        <v>117</v>
      </c>
      <c r="C110" s="16">
        <f>+[1]geral!I24</f>
        <v>1.5109999999999999</v>
      </c>
      <c r="D110" s="17">
        <f t="shared" si="12"/>
        <v>444.41176470588232</v>
      </c>
      <c r="E110" s="18">
        <f t="shared" si="13"/>
        <v>10.372534696859015</v>
      </c>
      <c r="F110" s="18">
        <f t="shared" ref="F110:F121" si="20">100*((C110/$C$109)-1)</f>
        <v>10.372534696859015</v>
      </c>
      <c r="G110" s="19">
        <f t="shared" si="16"/>
        <v>73.27981651376146</v>
      </c>
      <c r="H110" s="20">
        <f t="shared" si="18"/>
        <v>97.00130378096479</v>
      </c>
      <c r="I110" s="142">
        <f t="shared" si="14"/>
        <v>2.2567835870284583</v>
      </c>
      <c r="N110" s="10"/>
    </row>
    <row r="111" spans="1:14" ht="15" customHeight="1" x14ac:dyDescent="0.25">
      <c r="A111" s="122">
        <f t="shared" si="11"/>
        <v>104</v>
      </c>
      <c r="B111" s="141" t="s">
        <v>118</v>
      </c>
      <c r="C111" s="16">
        <f>+[1]geral!I25</f>
        <v>1.5069999999999999</v>
      </c>
      <c r="D111" s="17">
        <f t="shared" si="12"/>
        <v>443.23529411764702</v>
      </c>
      <c r="E111" s="18">
        <f t="shared" si="13"/>
        <v>-0.2647253474520217</v>
      </c>
      <c r="F111" s="18">
        <f t="shared" si="20"/>
        <v>10.080350620891165</v>
      </c>
      <c r="G111" s="19">
        <f t="shared" si="16"/>
        <v>70.013537906137174</v>
      </c>
      <c r="H111" s="20">
        <f t="shared" si="18"/>
        <v>96.479791395045609</v>
      </c>
      <c r="I111" s="142">
        <f t="shared" si="14"/>
        <v>2.2627737226277373</v>
      </c>
      <c r="N111" s="10"/>
    </row>
    <row r="112" spans="1:14" ht="15" customHeight="1" x14ac:dyDescent="0.25">
      <c r="A112" s="122">
        <f t="shared" si="11"/>
        <v>105</v>
      </c>
      <c r="B112" s="141" t="s">
        <v>119</v>
      </c>
      <c r="C112" s="16">
        <f>+[1]geral!I26</f>
        <v>1.5069999999999999</v>
      </c>
      <c r="D112" s="17">
        <f t="shared" si="12"/>
        <v>443.23529411764702</v>
      </c>
      <c r="E112" s="18">
        <f t="shared" si="13"/>
        <v>0</v>
      </c>
      <c r="F112" s="18">
        <f t="shared" si="20"/>
        <v>10.080350620891165</v>
      </c>
      <c r="G112" s="19">
        <f t="shared" si="16"/>
        <v>67.74265360641138</v>
      </c>
      <c r="H112" s="20">
        <f t="shared" si="18"/>
        <v>96.479791395045609</v>
      </c>
      <c r="I112" s="142">
        <f t="shared" si="14"/>
        <v>2.2627737226277373</v>
      </c>
      <c r="N112" s="10"/>
    </row>
    <row r="113" spans="1:14" ht="15" customHeight="1" x14ac:dyDescent="0.25">
      <c r="A113" s="122">
        <f t="shared" si="11"/>
        <v>106</v>
      </c>
      <c r="B113" s="141" t="s">
        <v>120</v>
      </c>
      <c r="C113" s="16">
        <f>+[1]geral!I27</f>
        <v>1.5069999999999999</v>
      </c>
      <c r="D113" s="17">
        <f t="shared" si="12"/>
        <v>443.23529411764702</v>
      </c>
      <c r="E113" s="18">
        <f t="shared" si="13"/>
        <v>0</v>
      </c>
      <c r="F113" s="18">
        <f t="shared" si="20"/>
        <v>10.080350620891165</v>
      </c>
      <c r="G113" s="19">
        <f t="shared" si="16"/>
        <v>55.392864508145998</v>
      </c>
      <c r="H113" s="20">
        <f t="shared" si="18"/>
        <v>96.479791395045609</v>
      </c>
      <c r="I113" s="142">
        <f t="shared" si="14"/>
        <v>2.2627737226277373</v>
      </c>
      <c r="N113" s="10"/>
    </row>
    <row r="114" spans="1:14" ht="15" customHeight="1" x14ac:dyDescent="0.25">
      <c r="A114" s="122">
        <f t="shared" si="11"/>
        <v>107</v>
      </c>
      <c r="B114" s="141" t="s">
        <v>121</v>
      </c>
      <c r="C114" s="16">
        <f>+[1]geral!I28</f>
        <v>1.4216</v>
      </c>
      <c r="D114" s="17">
        <f t="shared" si="12"/>
        <v>418.11764705882348</v>
      </c>
      <c r="E114" s="18">
        <f t="shared" si="13"/>
        <v>-5.666887856668879</v>
      </c>
      <c r="F114" s="18">
        <f t="shared" si="20"/>
        <v>3.8422205989773639</v>
      </c>
      <c r="G114" s="19">
        <f t="shared" si="16"/>
        <v>43.552458850853284</v>
      </c>
      <c r="H114" s="20">
        <f t="shared" si="18"/>
        <v>85.345501955671438</v>
      </c>
      <c r="I114" s="142">
        <f t="shared" si="14"/>
        <v>2.398705683736635</v>
      </c>
      <c r="N114" s="10"/>
    </row>
    <row r="115" spans="1:14" ht="15" customHeight="1" x14ac:dyDescent="0.25">
      <c r="A115" s="122">
        <f t="shared" si="11"/>
        <v>108</v>
      </c>
      <c r="B115" s="141" t="s">
        <v>122</v>
      </c>
      <c r="C115" s="16">
        <f>+[1]geral!I29</f>
        <v>1.399</v>
      </c>
      <c r="D115" s="17">
        <f t="shared" si="12"/>
        <v>411.47058823529409</v>
      </c>
      <c r="E115" s="18">
        <f t="shared" si="13"/>
        <v>-1.5897580191333693</v>
      </c>
      <c r="F115" s="18">
        <f t="shared" si="20"/>
        <v>2.1913805697589606</v>
      </c>
      <c r="G115" s="19">
        <f t="shared" si="16"/>
        <v>41.488920578091971</v>
      </c>
      <c r="H115" s="20">
        <f t="shared" si="18"/>
        <v>82.39895697522816</v>
      </c>
      <c r="I115" s="142">
        <f t="shared" si="14"/>
        <v>2.437455325232309</v>
      </c>
      <c r="N115" s="10"/>
    </row>
    <row r="116" spans="1:14" ht="15" customHeight="1" x14ac:dyDescent="0.25">
      <c r="A116" s="122">
        <f t="shared" si="11"/>
        <v>109</v>
      </c>
      <c r="B116" s="141" t="s">
        <v>123</v>
      </c>
      <c r="C116" s="16">
        <f>+[1]geral!I30</f>
        <v>1.3841000000000001</v>
      </c>
      <c r="D116" s="17">
        <f t="shared" si="12"/>
        <v>407.08823529411768</v>
      </c>
      <c r="E116" s="18">
        <f t="shared" si="13"/>
        <v>-1.0650464617583899</v>
      </c>
      <c r="F116" s="18">
        <f t="shared" si="20"/>
        <v>1.1029948867786743</v>
      </c>
      <c r="G116" s="19">
        <f t="shared" si="16"/>
        <v>28.276181649675646</v>
      </c>
      <c r="H116" s="20">
        <f t="shared" si="18"/>
        <v>69.205378973105141</v>
      </c>
      <c r="I116" s="142">
        <f t="shared" si="14"/>
        <v>2.4636948197384583</v>
      </c>
      <c r="N116" s="10"/>
    </row>
    <row r="117" spans="1:14" ht="15" customHeight="1" x14ac:dyDescent="0.25">
      <c r="A117" s="122">
        <f t="shared" si="11"/>
        <v>110</v>
      </c>
      <c r="B117" s="141" t="s">
        <v>124</v>
      </c>
      <c r="C117" s="16">
        <f>+[1]geral!I31</f>
        <v>1.3916999999999999</v>
      </c>
      <c r="D117" s="17">
        <f t="shared" si="12"/>
        <v>409.32352941176464</v>
      </c>
      <c r="E117" s="18">
        <f t="shared" si="13"/>
        <v>0.5490932736073928</v>
      </c>
      <c r="F117" s="18">
        <f t="shared" si="20"/>
        <v>1.6581446311175974</v>
      </c>
      <c r="G117" s="19">
        <f t="shared" si="16"/>
        <v>29.883341110592632</v>
      </c>
      <c r="H117" s="20">
        <f t="shared" si="18"/>
        <v>70.134474327628354</v>
      </c>
      <c r="I117" s="142">
        <f t="shared" si="14"/>
        <v>2.4502407127972985</v>
      </c>
      <c r="N117" s="10"/>
    </row>
    <row r="118" spans="1:14" ht="15" customHeight="1" x14ac:dyDescent="0.25">
      <c r="A118" s="122">
        <f t="shared" si="11"/>
        <v>111</v>
      </c>
      <c r="B118" s="141" t="s">
        <v>125</v>
      </c>
      <c r="C118" s="16">
        <f>+[1]geral!I32</f>
        <v>1.3633</v>
      </c>
      <c r="D118" s="17">
        <f t="shared" si="12"/>
        <v>400.97058823529403</v>
      </c>
      <c r="E118" s="18">
        <f t="shared" si="13"/>
        <v>-2.0406696845584493</v>
      </c>
      <c r="F118" s="18">
        <f t="shared" si="20"/>
        <v>-0.41636230825420339</v>
      </c>
      <c r="G118" s="19">
        <f t="shared" si="16"/>
        <v>27.173507462686565</v>
      </c>
      <c r="H118" s="20">
        <f t="shared" si="18"/>
        <v>61.912114014251785</v>
      </c>
      <c r="I118" s="142">
        <f t="shared" si="14"/>
        <v>2.5012836499669922</v>
      </c>
      <c r="N118" s="10"/>
    </row>
    <row r="119" spans="1:14" ht="15" customHeight="1" x14ac:dyDescent="0.25">
      <c r="A119" s="122">
        <f t="shared" si="11"/>
        <v>112</v>
      </c>
      <c r="B119" s="141" t="s">
        <v>126</v>
      </c>
      <c r="C119" s="16">
        <f>+[1]geral!I33</f>
        <v>1.3553999999999999</v>
      </c>
      <c r="D119" s="17">
        <f t="shared" si="12"/>
        <v>398.64705882352933</v>
      </c>
      <c r="E119" s="18">
        <f t="shared" si="13"/>
        <v>-0.57947627081347264</v>
      </c>
      <c r="F119" s="18">
        <f t="shared" si="20"/>
        <v>-0.99342585829073071</v>
      </c>
      <c r="G119" s="19">
        <f t="shared" si="16"/>
        <v>26.201117318435752</v>
      </c>
      <c r="H119" s="20">
        <f t="shared" si="18"/>
        <v>52.97968397291195</v>
      </c>
      <c r="I119" s="142">
        <f t="shared" si="14"/>
        <v>2.5158624760218387</v>
      </c>
      <c r="N119" s="10"/>
    </row>
    <row r="120" spans="1:14" ht="15" customHeight="1" x14ac:dyDescent="0.25">
      <c r="A120" s="122">
        <f t="shared" si="11"/>
        <v>113</v>
      </c>
      <c r="B120" s="141" t="s">
        <v>127</v>
      </c>
      <c r="C120" s="16">
        <f>+[1]geral!I34</f>
        <v>1.3560000000000001</v>
      </c>
      <c r="D120" s="17">
        <f t="shared" si="12"/>
        <v>398.82352941176475</v>
      </c>
      <c r="E120" s="18">
        <f t="shared" si="13"/>
        <v>4.4267374944673143E-2</v>
      </c>
      <c r="F120" s="18">
        <f t="shared" si="20"/>
        <v>-0.94959824689553329</v>
      </c>
      <c r="G120" s="19">
        <f t="shared" si="16"/>
        <v>5.1733498797797317</v>
      </c>
      <c r="H120" s="20">
        <f t="shared" si="18"/>
        <v>51.59306875349359</v>
      </c>
      <c r="I120" s="142">
        <f t="shared" si="14"/>
        <v>2.5147492625368733</v>
      </c>
      <c r="N120" s="10"/>
    </row>
    <row r="121" spans="1:14" ht="15" customHeight="1" x14ac:dyDescent="0.25">
      <c r="A121" s="122">
        <f t="shared" si="11"/>
        <v>114</v>
      </c>
      <c r="B121" s="141" t="s">
        <v>128</v>
      </c>
      <c r="C121" s="16">
        <f>+[1]geral!I35</f>
        <v>1.3464</v>
      </c>
      <c r="D121" s="17">
        <f t="shared" si="12"/>
        <v>396</v>
      </c>
      <c r="E121" s="18">
        <f t="shared" si="13"/>
        <v>-0.70796460176991705</v>
      </c>
      <c r="F121" s="18">
        <f t="shared" si="20"/>
        <v>-1.6508400292184033</v>
      </c>
      <c r="G121" s="19">
        <f t="shared" si="16"/>
        <v>-1.6508400292184033</v>
      </c>
      <c r="H121" s="20">
        <f t="shared" si="18"/>
        <v>49.268292682926827</v>
      </c>
      <c r="I121" s="142">
        <f t="shared" si="14"/>
        <v>2.5326797385620914</v>
      </c>
      <c r="N121" s="10"/>
    </row>
    <row r="122" spans="1:14" ht="15" customHeight="1" x14ac:dyDescent="0.25">
      <c r="A122" s="122">
        <f t="shared" si="11"/>
        <v>115</v>
      </c>
      <c r="B122" s="141" t="s">
        <v>129</v>
      </c>
      <c r="C122" s="16">
        <f>+[1]geral!K24</f>
        <v>1.3319000000000001</v>
      </c>
      <c r="D122" s="17">
        <f t="shared" si="12"/>
        <v>391.73529411764702</v>
      </c>
      <c r="E122" s="18">
        <f t="shared" si="13"/>
        <v>-1.0769459298871076</v>
      </c>
      <c r="F122" s="18">
        <f t="shared" ref="F122:F133" si="21">100*((C122/$C$121)-1)</f>
        <v>-1.0769459298871076</v>
      </c>
      <c r="G122" s="19">
        <f t="shared" si="16"/>
        <v>-11.853077432164117</v>
      </c>
      <c r="H122" s="20">
        <f t="shared" si="18"/>
        <v>52.740825688073414</v>
      </c>
      <c r="I122" s="142">
        <f t="shared" si="14"/>
        <v>2.5602522711915308</v>
      </c>
      <c r="N122" s="10"/>
    </row>
    <row r="123" spans="1:14" ht="15" customHeight="1" x14ac:dyDescent="0.25">
      <c r="A123" s="122">
        <f t="shared" si="11"/>
        <v>116</v>
      </c>
      <c r="B123" s="141" t="s">
        <v>130</v>
      </c>
      <c r="C123" s="16">
        <f>+[1]geral!K25</f>
        <v>1.3371999999999999</v>
      </c>
      <c r="D123" s="17">
        <f t="shared" si="12"/>
        <v>393.29411764705878</v>
      </c>
      <c r="E123" s="18">
        <f t="shared" si="13"/>
        <v>0.39792777235527765</v>
      </c>
      <c r="F123" s="18">
        <f t="shared" si="21"/>
        <v>-0.68330362448010273</v>
      </c>
      <c r="G123" s="19">
        <f t="shared" si="16"/>
        <v>-11.267418712674182</v>
      </c>
      <c r="H123" s="20">
        <f t="shared" si="18"/>
        <v>50.857400722021652</v>
      </c>
      <c r="I123" s="142">
        <f t="shared" si="14"/>
        <v>2.550104696380497</v>
      </c>
      <c r="N123" s="10"/>
    </row>
    <row r="124" spans="1:14" ht="15" customHeight="1" x14ac:dyDescent="0.25">
      <c r="A124" s="122">
        <f t="shared" si="11"/>
        <v>117</v>
      </c>
      <c r="B124" s="141" t="s">
        <v>131</v>
      </c>
      <c r="C124" s="16">
        <f>+[1]geral!K26</f>
        <v>1.3304</v>
      </c>
      <c r="D124" s="17">
        <f t="shared" si="12"/>
        <v>391.29411764705878</v>
      </c>
      <c r="E124" s="18">
        <f t="shared" si="13"/>
        <v>-0.50852527669756897</v>
      </c>
      <c r="F124" s="18">
        <f t="shared" si="21"/>
        <v>-1.1883541295305999</v>
      </c>
      <c r="G124" s="19">
        <f t="shared" si="16"/>
        <v>-11.718646317186455</v>
      </c>
      <c r="H124" s="20">
        <f t="shared" si="18"/>
        <v>48.085485307212835</v>
      </c>
      <c r="I124" s="142">
        <f t="shared" si="14"/>
        <v>2.5631389055923033</v>
      </c>
      <c r="N124" s="10"/>
    </row>
    <row r="125" spans="1:14" ht="15" customHeight="1" x14ac:dyDescent="0.25">
      <c r="A125" s="122">
        <f t="shared" si="11"/>
        <v>118</v>
      </c>
      <c r="B125" s="141" t="s">
        <v>132</v>
      </c>
      <c r="C125" s="16">
        <f>+[1]geral!K27</f>
        <v>1.3284</v>
      </c>
      <c r="D125" s="17">
        <f t="shared" si="12"/>
        <v>390.70588235294116</v>
      </c>
      <c r="E125" s="18">
        <f t="shared" si="13"/>
        <v>-0.15033072760072264</v>
      </c>
      <c r="F125" s="18">
        <f t="shared" si="21"/>
        <v>-1.3368983957219305</v>
      </c>
      <c r="G125" s="19">
        <f t="shared" si="16"/>
        <v>-11.851360318513592</v>
      </c>
      <c r="H125" s="20">
        <f t="shared" si="18"/>
        <v>36.976696226025993</v>
      </c>
      <c r="I125" s="142">
        <f t="shared" si="14"/>
        <v>2.5669978922011443</v>
      </c>
      <c r="N125" s="10"/>
    </row>
    <row r="126" spans="1:14" ht="15" customHeight="1" x14ac:dyDescent="0.25">
      <c r="A126" s="122">
        <f t="shared" si="11"/>
        <v>119</v>
      </c>
      <c r="B126" s="141" t="s">
        <v>133</v>
      </c>
      <c r="C126" s="16">
        <f>+[1]geral!K28</f>
        <v>1.3229</v>
      </c>
      <c r="D126" s="17">
        <f t="shared" si="12"/>
        <v>389.08823529411762</v>
      </c>
      <c r="E126" s="18">
        <f t="shared" si="13"/>
        <v>-0.41403191809696871</v>
      </c>
      <c r="F126" s="18">
        <f t="shared" si="21"/>
        <v>-1.7453951277480728</v>
      </c>
      <c r="G126" s="19">
        <f t="shared" si="16"/>
        <v>-6.9428812605514922</v>
      </c>
      <c r="H126" s="20">
        <f t="shared" si="18"/>
        <v>33.585782086236506</v>
      </c>
      <c r="I126" s="142">
        <f t="shared" si="14"/>
        <v>2.5776702698616676</v>
      </c>
      <c r="N126" s="10"/>
    </row>
    <row r="127" spans="1:14" ht="15" customHeight="1" x14ac:dyDescent="0.25">
      <c r="A127" s="122">
        <f t="shared" si="11"/>
        <v>120</v>
      </c>
      <c r="B127" s="141" t="s">
        <v>134</v>
      </c>
      <c r="C127" s="16">
        <f>+[1]geral!K29</f>
        <v>1.4466000000000001</v>
      </c>
      <c r="D127" s="17">
        <f t="shared" si="12"/>
        <v>425.47058823529414</v>
      </c>
      <c r="E127" s="18">
        <f>100*((C127/C126)-1)</f>
        <v>9.35066898480612</v>
      </c>
      <c r="F127" s="18">
        <f t="shared" si="21"/>
        <v>7.4420677361853871</v>
      </c>
      <c r="G127" s="19">
        <f t="shared" si="16"/>
        <v>3.4024303073624029</v>
      </c>
      <c r="H127" s="20">
        <f t="shared" si="18"/>
        <v>46.302982493400904</v>
      </c>
      <c r="I127" s="142">
        <f t="shared" si="14"/>
        <v>2.3572514862436056</v>
      </c>
      <c r="J127" s="8" t="s">
        <v>135</v>
      </c>
      <c r="N127" s="10"/>
    </row>
    <row r="128" spans="1:14" ht="15" customHeight="1" x14ac:dyDescent="0.25">
      <c r="A128" s="122">
        <f t="shared" si="11"/>
        <v>121</v>
      </c>
      <c r="B128" s="141" t="s">
        <v>136</v>
      </c>
      <c r="C128" s="16">
        <f>+[1]geral!K30</f>
        <v>1.4466000000000001</v>
      </c>
      <c r="D128" s="17">
        <f t="shared" si="12"/>
        <v>425.47058823529414</v>
      </c>
      <c r="E128" s="18">
        <f t="shared" si="13"/>
        <v>0</v>
      </c>
      <c r="F128" s="18">
        <f t="shared" si="21"/>
        <v>7.4420677361853871</v>
      </c>
      <c r="G128" s="19">
        <f t="shared" si="16"/>
        <v>4.5155696842713589</v>
      </c>
      <c r="H128" s="20">
        <f t="shared" si="18"/>
        <v>34.068582020389272</v>
      </c>
      <c r="I128" s="142">
        <f t="shared" si="14"/>
        <v>2.3572514862436056</v>
      </c>
      <c r="N128" s="10"/>
    </row>
    <row r="129" spans="1:14" ht="15" customHeight="1" x14ac:dyDescent="0.25">
      <c r="A129" s="122">
        <f t="shared" si="11"/>
        <v>122</v>
      </c>
      <c r="B129" s="141" t="s">
        <v>137</v>
      </c>
      <c r="C129" s="16">
        <f>+[1]geral!K31</f>
        <v>1.4475</v>
      </c>
      <c r="D129" s="17">
        <f t="shared" si="12"/>
        <v>425.73529411764702</v>
      </c>
      <c r="E129" s="18">
        <f t="shared" si="13"/>
        <v>6.221484861053117E-2</v>
      </c>
      <c r="F129" s="18">
        <f t="shared" si="21"/>
        <v>7.508912655971467</v>
      </c>
      <c r="G129" s="19">
        <f t="shared" si="16"/>
        <v>4.0094848027592223</v>
      </c>
      <c r="H129" s="20">
        <f t="shared" si="18"/>
        <v>35.090993933737757</v>
      </c>
      <c r="I129" s="142">
        <f t="shared" si="14"/>
        <v>2.3557858376511227</v>
      </c>
      <c r="N129" s="10"/>
    </row>
    <row r="130" spans="1:14" ht="15" customHeight="1" x14ac:dyDescent="0.25">
      <c r="A130" s="122">
        <f t="shared" si="11"/>
        <v>123</v>
      </c>
      <c r="B130" s="141" t="s">
        <v>138</v>
      </c>
      <c r="C130" s="16">
        <f>+[1]geral!K32</f>
        <v>1.4407000000000001</v>
      </c>
      <c r="D130" s="17">
        <f t="shared" si="12"/>
        <v>423.73529411764707</v>
      </c>
      <c r="E130" s="18">
        <f t="shared" si="13"/>
        <v>-0.46977547495681282</v>
      </c>
      <c r="F130" s="18">
        <f t="shared" si="21"/>
        <v>7.0038621509209698</v>
      </c>
      <c r="G130" s="19">
        <f t="shared" si="16"/>
        <v>5.6774004254382948</v>
      </c>
      <c r="H130" s="20">
        <f t="shared" si="18"/>
        <v>34.393656716417922</v>
      </c>
      <c r="I130" s="142">
        <f t="shared" si="14"/>
        <v>2.3669049767474144</v>
      </c>
      <c r="N130" s="10"/>
    </row>
    <row r="131" spans="1:14" ht="15" customHeight="1" x14ac:dyDescent="0.25">
      <c r="A131" s="122">
        <f t="shared" si="11"/>
        <v>124</v>
      </c>
      <c r="B131" s="141" t="s">
        <v>139</v>
      </c>
      <c r="C131" s="16">
        <f>+[1]geral!K33</f>
        <v>1.5230999999999999</v>
      </c>
      <c r="D131" s="17">
        <f t="shared" si="12"/>
        <v>447.97058823529409</v>
      </c>
      <c r="E131" s="18">
        <f t="shared" si="13"/>
        <v>5.7194419379468231</v>
      </c>
      <c r="F131" s="18">
        <f t="shared" si="21"/>
        <v>13.123885918003552</v>
      </c>
      <c r="G131" s="19">
        <f t="shared" si="16"/>
        <v>12.37273129703409</v>
      </c>
      <c r="H131" s="20">
        <f t="shared" si="18"/>
        <v>41.815642458100541</v>
      </c>
      <c r="I131" s="142">
        <f t="shared" si="14"/>
        <v>2.2388549668439368</v>
      </c>
      <c r="J131" s="8" t="s">
        <v>135</v>
      </c>
      <c r="N131" s="10"/>
    </row>
    <row r="132" spans="1:14" ht="15" customHeight="1" x14ac:dyDescent="0.25">
      <c r="A132" s="122">
        <f t="shared" si="11"/>
        <v>125</v>
      </c>
      <c r="B132" s="141" t="s">
        <v>140</v>
      </c>
      <c r="C132" s="16">
        <f>+[1]geral!K34</f>
        <v>1.5259</v>
      </c>
      <c r="D132" s="17">
        <f t="shared" si="12"/>
        <v>448.79411764705878</v>
      </c>
      <c r="E132" s="18">
        <f t="shared" si="13"/>
        <v>0.18383559845054354</v>
      </c>
      <c r="F132" s="18">
        <f t="shared" si="21"/>
        <v>13.331847890671412</v>
      </c>
      <c r="G132" s="19">
        <f t="shared" si="16"/>
        <v>12.529498525073745</v>
      </c>
      <c r="H132" s="20">
        <f t="shared" si="18"/>
        <v>18.351043201737394</v>
      </c>
      <c r="I132" s="142">
        <f t="shared" si="14"/>
        <v>2.2347467068615243</v>
      </c>
      <c r="N132" s="10"/>
    </row>
    <row r="133" spans="1:14" ht="15" customHeight="1" x14ac:dyDescent="0.25">
      <c r="A133" s="122">
        <f t="shared" si="11"/>
        <v>126</v>
      </c>
      <c r="B133" s="141" t="s">
        <v>141</v>
      </c>
      <c r="C133" s="16">
        <f>+[1]geral!K35</f>
        <v>1.6366000000000001</v>
      </c>
      <c r="D133" s="17">
        <f t="shared" si="12"/>
        <v>481.35294117647055</v>
      </c>
      <c r="E133" s="18">
        <f>100*((C133/C132)-1)</f>
        <v>7.2547349105446024</v>
      </c>
      <c r="F133" s="18">
        <f t="shared" si="21"/>
        <v>21.553773024361256</v>
      </c>
      <c r="G133" s="19">
        <f t="shared" si="16"/>
        <v>21.553773024361256</v>
      </c>
      <c r="H133" s="20">
        <f t="shared" si="18"/>
        <v>19.547114682249813</v>
      </c>
      <c r="I133" s="142">
        <f t="shared" si="14"/>
        <v>2.0835879261884394</v>
      </c>
      <c r="J133" s="8" t="s">
        <v>135</v>
      </c>
      <c r="N133" s="10"/>
    </row>
    <row r="134" spans="1:14" ht="15" customHeight="1" x14ac:dyDescent="0.25">
      <c r="A134" s="122">
        <f t="shared" si="11"/>
        <v>127</v>
      </c>
      <c r="B134" s="141" t="s">
        <v>142</v>
      </c>
      <c r="C134" s="16">
        <f>+[1]geral!M24</f>
        <v>1.6359999999999999</v>
      </c>
      <c r="D134" s="17">
        <f t="shared" si="12"/>
        <v>481.17647058823525</v>
      </c>
      <c r="E134" s="18">
        <f t="shared" si="13"/>
        <v>-3.6661371135293663E-2</v>
      </c>
      <c r="F134" s="18">
        <f t="shared" ref="F134:F145" si="22">100*((C134/$C$133)-1)</f>
        <v>-3.6661371135293663E-2</v>
      </c>
      <c r="G134" s="19">
        <f t="shared" si="16"/>
        <v>22.832044447781353</v>
      </c>
      <c r="H134" s="20">
        <f t="shared" si="18"/>
        <v>8.2726671078755754</v>
      </c>
      <c r="I134" s="142">
        <f t="shared" si="14"/>
        <v>2.084352078239609</v>
      </c>
      <c r="N134" s="10"/>
    </row>
    <row r="135" spans="1:14" ht="15" customHeight="1" x14ac:dyDescent="0.25">
      <c r="A135" s="122">
        <f t="shared" si="11"/>
        <v>128</v>
      </c>
      <c r="B135" s="141" t="s">
        <v>143</v>
      </c>
      <c r="C135" s="16">
        <f>+[1]geral!M25</f>
        <v>1.6398999999999999</v>
      </c>
      <c r="D135" s="17">
        <f t="shared" si="12"/>
        <v>482.32352941176464</v>
      </c>
      <c r="E135" s="18">
        <f t="shared" si="13"/>
        <v>0.23838630806845007</v>
      </c>
      <c r="F135" s="18">
        <f t="shared" si="22"/>
        <v>0.20163754124402633</v>
      </c>
      <c r="G135" s="19">
        <f t="shared" si="16"/>
        <v>22.636853125934799</v>
      </c>
      <c r="H135" s="20">
        <f t="shared" si="18"/>
        <v>8.8188453881884463</v>
      </c>
      <c r="I135" s="142">
        <f t="shared" si="14"/>
        <v>2.0793950850661629</v>
      </c>
      <c r="N135" s="10"/>
    </row>
    <row r="136" spans="1:14" ht="15" customHeight="1" x14ac:dyDescent="0.25">
      <c r="A136" s="122">
        <f t="shared" si="11"/>
        <v>129</v>
      </c>
      <c r="B136" s="141" t="s">
        <v>144</v>
      </c>
      <c r="C136" s="16">
        <f>+[1]geral!M26</f>
        <v>1.643</v>
      </c>
      <c r="D136" s="17">
        <f t="shared" si="12"/>
        <v>483.23529411764707</v>
      </c>
      <c r="E136" s="18">
        <f t="shared" si="13"/>
        <v>0.1890359168241984</v>
      </c>
      <c r="F136" s="18">
        <f t="shared" si="22"/>
        <v>0.39105462544299918</v>
      </c>
      <c r="G136" s="19">
        <f t="shared" si="16"/>
        <v>23.496692723992773</v>
      </c>
      <c r="H136" s="20">
        <f t="shared" si="18"/>
        <v>9.0245520902455301</v>
      </c>
      <c r="I136" s="142">
        <f t="shared" si="14"/>
        <v>2.0754716981132075</v>
      </c>
      <c r="N136" s="10"/>
    </row>
    <row r="137" spans="1:14" ht="15" customHeight="1" x14ac:dyDescent="0.25">
      <c r="A137" s="122">
        <f t="shared" si="11"/>
        <v>130</v>
      </c>
      <c r="B137" s="141" t="s">
        <v>145</v>
      </c>
      <c r="C137" s="16">
        <f>+[1]geral!M27</f>
        <v>1.6386000000000001</v>
      </c>
      <c r="D137" s="17">
        <f t="shared" si="12"/>
        <v>481.94117647058823</v>
      </c>
      <c r="E137" s="18">
        <f t="shared" si="13"/>
        <v>-0.26780279975654464</v>
      </c>
      <c r="F137" s="18">
        <f t="shared" si="22"/>
        <v>0.12220457045093447</v>
      </c>
      <c r="G137" s="19">
        <f t="shared" si="16"/>
        <v>23.351400180668481</v>
      </c>
      <c r="H137" s="20">
        <f t="shared" si="18"/>
        <v>8.7325812873258144</v>
      </c>
      <c r="I137" s="142">
        <f t="shared" si="14"/>
        <v>2.0810447943366288</v>
      </c>
      <c r="N137" s="10"/>
    </row>
    <row r="138" spans="1:14" ht="15" customHeight="1" x14ac:dyDescent="0.25">
      <c r="A138" s="122">
        <f t="shared" ref="A138:A201" si="23">1+A137</f>
        <v>131</v>
      </c>
      <c r="B138" s="141" t="s">
        <v>146</v>
      </c>
      <c r="C138" s="16">
        <f>+[1]geral!M28</f>
        <v>1.6569</v>
      </c>
      <c r="D138" s="17">
        <f t="shared" ref="D138:D201" si="24">100*C138/$C$8</f>
        <v>487.32352941176464</v>
      </c>
      <c r="E138" s="18">
        <f t="shared" ref="E138:E201" si="25">100*((C138/C137)-1)</f>
        <v>1.1168070303917865</v>
      </c>
      <c r="F138" s="18">
        <f t="shared" si="22"/>
        <v>1.2403763900769915</v>
      </c>
      <c r="G138" s="19">
        <f t="shared" si="16"/>
        <v>25.247562174011652</v>
      </c>
      <c r="H138" s="20">
        <f t="shared" si="18"/>
        <v>16.551772650534623</v>
      </c>
      <c r="I138" s="142">
        <f t="shared" ref="I138:I201" si="26">$C$293/C138</f>
        <v>2.0580602329651758</v>
      </c>
      <c r="J138" s="8" t="s">
        <v>147</v>
      </c>
      <c r="N138" s="10"/>
    </row>
    <row r="139" spans="1:14" ht="15" customHeight="1" x14ac:dyDescent="0.25">
      <c r="A139" s="122">
        <f t="shared" si="23"/>
        <v>132</v>
      </c>
      <c r="B139" s="141" t="s">
        <v>148</v>
      </c>
      <c r="C139" s="16">
        <f>+[1]geral!M29</f>
        <v>1.6478999999999999</v>
      </c>
      <c r="D139" s="17">
        <f t="shared" si="24"/>
        <v>484.67647058823525</v>
      </c>
      <c r="E139" s="18">
        <f t="shared" si="25"/>
        <v>-0.5431830526887671</v>
      </c>
      <c r="F139" s="18">
        <f t="shared" si="22"/>
        <v>0.69045582304776421</v>
      </c>
      <c r="G139" s="19">
        <f t="shared" si="16"/>
        <v>13.915387805889656</v>
      </c>
      <c r="H139" s="20">
        <f t="shared" si="18"/>
        <v>17.791279485346667</v>
      </c>
      <c r="I139" s="142">
        <f t="shared" si="26"/>
        <v>2.0693003216214576</v>
      </c>
      <c r="N139" s="10"/>
    </row>
    <row r="140" spans="1:14" ht="15" customHeight="1" x14ac:dyDescent="0.25">
      <c r="A140" s="122">
        <f t="shared" si="23"/>
        <v>133</v>
      </c>
      <c r="B140" s="141" t="s">
        <v>149</v>
      </c>
      <c r="C140" s="16">
        <f>+[1]geral!M30</f>
        <v>1.653</v>
      </c>
      <c r="D140" s="17">
        <f t="shared" si="24"/>
        <v>486.1764705882353</v>
      </c>
      <c r="E140" s="18">
        <f t="shared" si="25"/>
        <v>0.30948479883488034</v>
      </c>
      <c r="F140" s="18">
        <f t="shared" si="22"/>
        <v>1.0020774776976715</v>
      </c>
      <c r="G140" s="19">
        <f t="shared" si="16"/>
        <v>14.267938614682695</v>
      </c>
      <c r="H140" s="20">
        <f t="shared" si="18"/>
        <v>19.427787009609119</v>
      </c>
      <c r="I140" s="142">
        <f t="shared" si="26"/>
        <v>2.0629159104658199</v>
      </c>
      <c r="N140" s="10"/>
    </row>
    <row r="141" spans="1:14" ht="15" customHeight="1" x14ac:dyDescent="0.25">
      <c r="A141" s="122">
        <f t="shared" si="23"/>
        <v>134</v>
      </c>
      <c r="B141" s="141" t="s">
        <v>150</v>
      </c>
      <c r="C141" s="16">
        <f>+[1]geral!M31</f>
        <v>1.6459999999999999</v>
      </c>
      <c r="D141" s="17">
        <f t="shared" si="24"/>
        <v>484.11764705882348</v>
      </c>
      <c r="E141" s="18">
        <f t="shared" si="25"/>
        <v>-0.42347247428917711</v>
      </c>
      <c r="F141" s="18">
        <f t="shared" si="22"/>
        <v>0.57436148111937868</v>
      </c>
      <c r="G141" s="19">
        <f t="shared" si="16"/>
        <v>13.713298791018991</v>
      </c>
      <c r="H141" s="20">
        <f t="shared" si="18"/>
        <v>18.272616224761084</v>
      </c>
      <c r="I141" s="142">
        <f t="shared" si="26"/>
        <v>2.0716889428918592</v>
      </c>
      <c r="N141" s="10"/>
    </row>
    <row r="142" spans="1:14" ht="15" customHeight="1" x14ac:dyDescent="0.25">
      <c r="A142" s="122">
        <f t="shared" si="23"/>
        <v>135</v>
      </c>
      <c r="B142" s="141" t="s">
        <v>151</v>
      </c>
      <c r="C142" s="16">
        <f>+[1]geral!M32</f>
        <v>1.8149</v>
      </c>
      <c r="D142" s="17">
        <f t="shared" si="24"/>
        <v>533.79411764705878</v>
      </c>
      <c r="E142" s="18">
        <f t="shared" si="25"/>
        <v>10.261239368165253</v>
      </c>
      <c r="F142" s="18">
        <f t="shared" si="22"/>
        <v>10.894537455700837</v>
      </c>
      <c r="G142" s="19">
        <f t="shared" si="16"/>
        <v>25.973485111404159</v>
      </c>
      <c r="H142" s="20">
        <f t="shared" si="18"/>
        <v>33.125504291058469</v>
      </c>
      <c r="I142" s="142">
        <f t="shared" si="26"/>
        <v>1.8788913989751503</v>
      </c>
      <c r="J142" s="8" t="s">
        <v>135</v>
      </c>
      <c r="N142" s="10"/>
    </row>
    <row r="143" spans="1:14" ht="15" customHeight="1" x14ac:dyDescent="0.25">
      <c r="A143" s="122">
        <f t="shared" si="23"/>
        <v>136</v>
      </c>
      <c r="B143" s="141" t="s">
        <v>152</v>
      </c>
      <c r="C143" s="16">
        <f>+[1]geral!M33</f>
        <v>1.84</v>
      </c>
      <c r="D143" s="17">
        <f t="shared" si="24"/>
        <v>541.17647058823525</v>
      </c>
      <c r="E143" s="18">
        <f t="shared" si="25"/>
        <v>1.3829963083365593</v>
      </c>
      <c r="F143" s="18">
        <f t="shared" si="22"/>
        <v>12.428204814860067</v>
      </c>
      <c r="G143" s="19">
        <f t="shared" si="16"/>
        <v>20.806250410347339</v>
      </c>
      <c r="H143" s="20">
        <f t="shared" si="18"/>
        <v>35.753283163641747</v>
      </c>
      <c r="I143" s="142">
        <f t="shared" si="26"/>
        <v>1.8532608695652173</v>
      </c>
      <c r="N143" s="10"/>
    </row>
    <row r="144" spans="1:14" ht="15" customHeight="1" x14ac:dyDescent="0.25">
      <c r="A144" s="122">
        <f t="shared" si="23"/>
        <v>137</v>
      </c>
      <c r="B144" s="141" t="s">
        <v>153</v>
      </c>
      <c r="C144" s="16">
        <f>+[1]geral!M34</f>
        <v>1.83</v>
      </c>
      <c r="D144" s="17">
        <f t="shared" si="24"/>
        <v>538.23529411764707</v>
      </c>
      <c r="E144" s="18">
        <f t="shared" si="25"/>
        <v>-0.54347826086956763</v>
      </c>
      <c r="F144" s="18">
        <f t="shared" si="22"/>
        <v>11.817181962605394</v>
      </c>
      <c r="G144" s="19">
        <f t="shared" si="16"/>
        <v>19.929222098433709</v>
      </c>
      <c r="H144" s="20">
        <f t="shared" si="18"/>
        <v>34.955752212389378</v>
      </c>
      <c r="I144" s="142">
        <f t="shared" si="26"/>
        <v>1.8633879781420766</v>
      </c>
      <c r="N144" s="10"/>
    </row>
    <row r="145" spans="1:14" ht="15" customHeight="1" x14ac:dyDescent="0.25">
      <c r="A145" s="122">
        <f t="shared" si="23"/>
        <v>138</v>
      </c>
      <c r="B145" s="141" t="s">
        <v>154</v>
      </c>
      <c r="C145" s="16">
        <f>+[1]geral!M35</f>
        <v>1.8327500000000001</v>
      </c>
      <c r="D145" s="17">
        <f t="shared" si="24"/>
        <v>539.04411764705878</v>
      </c>
      <c r="E145" s="18">
        <f t="shared" si="25"/>
        <v>0.15027322404370658</v>
      </c>
      <c r="F145" s="18">
        <f t="shared" si="22"/>
        <v>11.985213246975434</v>
      </c>
      <c r="G145" s="19">
        <f t="shared" si="16"/>
        <v>11.985213246975434</v>
      </c>
      <c r="H145" s="20">
        <f t="shared" si="18"/>
        <v>36.122251931075454</v>
      </c>
      <c r="I145" s="142">
        <f t="shared" si="26"/>
        <v>1.8605920065475379</v>
      </c>
      <c r="N145" s="10"/>
    </row>
    <row r="146" spans="1:14" ht="15" customHeight="1" x14ac:dyDescent="0.25">
      <c r="A146" s="122">
        <f t="shared" si="23"/>
        <v>139</v>
      </c>
      <c r="B146" s="141" t="s">
        <v>155</v>
      </c>
      <c r="C146" s="16">
        <f>+[1]geral!C40</f>
        <v>1.8360000000000001</v>
      </c>
      <c r="D146" s="17">
        <f t="shared" si="24"/>
        <v>540</v>
      </c>
      <c r="E146" s="18">
        <f t="shared" si="25"/>
        <v>0.17732915018415785</v>
      </c>
      <c r="F146" s="18">
        <f t="shared" ref="F146:F157" si="27">100*((C146/$C$145)-1)</f>
        <v>0.17732915018415785</v>
      </c>
      <c r="G146" s="19">
        <f t="shared" si="16"/>
        <v>12.224938875305625</v>
      </c>
      <c r="H146" s="20">
        <f t="shared" si="18"/>
        <v>37.848186800810879</v>
      </c>
      <c r="I146" s="142">
        <f t="shared" si="26"/>
        <v>1.8572984749455337</v>
      </c>
      <c r="N146" s="10"/>
    </row>
    <row r="147" spans="1:14" ht="15" customHeight="1" x14ac:dyDescent="0.25">
      <c r="A147" s="122">
        <f t="shared" si="23"/>
        <v>140</v>
      </c>
      <c r="B147" s="141" t="s">
        <v>156</v>
      </c>
      <c r="C147" s="16">
        <f>+[1]geral!C41</f>
        <v>1.837</v>
      </c>
      <c r="D147" s="17">
        <f t="shared" si="24"/>
        <v>540.29411764705878</v>
      </c>
      <c r="E147" s="18">
        <f t="shared" si="25"/>
        <v>5.4466230936811577E-2</v>
      </c>
      <c r="F147" s="18">
        <f t="shared" si="27"/>
        <v>0.23189196562540815</v>
      </c>
      <c r="G147" s="19">
        <f t="shared" si="16"/>
        <v>12.019025550338448</v>
      </c>
      <c r="H147" s="20">
        <f t="shared" si="18"/>
        <v>37.376607837271926</v>
      </c>
      <c r="I147" s="142">
        <f t="shared" si="26"/>
        <v>1.8562874251497008</v>
      </c>
      <c r="N147" s="10"/>
    </row>
    <row r="148" spans="1:14" ht="15" customHeight="1" x14ac:dyDescent="0.25">
      <c r="A148" s="122">
        <f t="shared" si="23"/>
        <v>141</v>
      </c>
      <c r="B148" s="141" t="s">
        <v>157</v>
      </c>
      <c r="C148" s="16">
        <f>+[1]geral!C42</f>
        <v>1.8240000000000001</v>
      </c>
      <c r="D148" s="17">
        <f t="shared" si="24"/>
        <v>536.47058823529414</v>
      </c>
      <c r="E148" s="18">
        <f t="shared" si="25"/>
        <v>-0.70767555797495163</v>
      </c>
      <c r="F148" s="18">
        <f t="shared" si="27"/>
        <v>-0.47742463511117883</v>
      </c>
      <c r="G148" s="19">
        <f t="shared" si="16"/>
        <v>11.016433353621435</v>
      </c>
      <c r="H148" s="20">
        <f t="shared" si="18"/>
        <v>37.101623571858092</v>
      </c>
      <c r="I148" s="142">
        <f t="shared" si="26"/>
        <v>1.8695175438596492</v>
      </c>
      <c r="N148" s="10"/>
    </row>
    <row r="149" spans="1:14" ht="15" customHeight="1" x14ac:dyDescent="0.25">
      <c r="A149" s="122">
        <f t="shared" si="23"/>
        <v>142</v>
      </c>
      <c r="B149" s="141" t="s">
        <v>158</v>
      </c>
      <c r="C149" s="16">
        <f>+[1]geral!C43</f>
        <v>1.821</v>
      </c>
      <c r="D149" s="17">
        <f t="shared" si="24"/>
        <v>535.58823529411757</v>
      </c>
      <c r="E149" s="18">
        <f t="shared" si="25"/>
        <v>-0.16447368421053099</v>
      </c>
      <c r="F149" s="18">
        <f t="shared" si="27"/>
        <v>-0.64111308143500745</v>
      </c>
      <c r="G149" s="19">
        <f t="shared" ref="G149:G212" si="28">100*((C149/C137)-1)</f>
        <v>11.131453679970704</v>
      </c>
      <c r="H149" s="20">
        <f t="shared" si="18"/>
        <v>37.082204155374889</v>
      </c>
      <c r="I149" s="142">
        <f t="shared" si="26"/>
        <v>1.8725974739154312</v>
      </c>
      <c r="N149" s="10"/>
    </row>
    <row r="150" spans="1:14" ht="15" customHeight="1" x14ac:dyDescent="0.25">
      <c r="A150" s="122">
        <f t="shared" si="23"/>
        <v>143</v>
      </c>
      <c r="B150" s="141" t="s">
        <v>159</v>
      </c>
      <c r="C150" s="16">
        <f>+[1]geral!C44</f>
        <v>1.825</v>
      </c>
      <c r="D150" s="17">
        <f t="shared" si="24"/>
        <v>536.76470588235293</v>
      </c>
      <c r="E150" s="18">
        <f t="shared" si="25"/>
        <v>0.21965952773201902</v>
      </c>
      <c r="F150" s="18">
        <f t="shared" si="27"/>
        <v>-0.42286181966990632</v>
      </c>
      <c r="G150" s="19">
        <f t="shared" si="28"/>
        <v>10.14545235077553</v>
      </c>
      <c r="H150" s="20">
        <f t="shared" si="18"/>
        <v>37.954493914883969</v>
      </c>
      <c r="I150" s="142">
        <f t="shared" si="26"/>
        <v>1.8684931506849316</v>
      </c>
      <c r="N150" s="10"/>
    </row>
    <row r="151" spans="1:14" ht="15" customHeight="1" x14ac:dyDescent="0.25">
      <c r="A151" s="122">
        <f t="shared" si="23"/>
        <v>144</v>
      </c>
      <c r="B151" s="141" t="s">
        <v>160</v>
      </c>
      <c r="C151" s="16">
        <f>+[1]geral!C45</f>
        <v>1.788</v>
      </c>
      <c r="D151" s="17">
        <f t="shared" si="24"/>
        <v>525.88235294117646</v>
      </c>
      <c r="E151" s="18">
        <f t="shared" si="25"/>
        <v>-2.0273972602739665</v>
      </c>
      <c r="F151" s="18">
        <f t="shared" si="27"/>
        <v>-2.4416859909971445</v>
      </c>
      <c r="G151" s="19">
        <f t="shared" si="28"/>
        <v>8.5017294738758409</v>
      </c>
      <c r="H151" s="20">
        <f t="shared" si="18"/>
        <v>23.600165906262948</v>
      </c>
      <c r="I151" s="142">
        <f t="shared" si="26"/>
        <v>1.9071588366890382</v>
      </c>
      <c r="N151" s="10"/>
    </row>
    <row r="152" spans="1:14" ht="15" customHeight="1" x14ac:dyDescent="0.25">
      <c r="A152" s="122">
        <f t="shared" si="23"/>
        <v>145</v>
      </c>
      <c r="B152" s="141" t="s">
        <v>161</v>
      </c>
      <c r="C152" s="16">
        <f>+[1]geral!C46</f>
        <v>1.8280000000000001</v>
      </c>
      <c r="D152" s="17">
        <f t="shared" si="24"/>
        <v>537.64705882352939</v>
      </c>
      <c r="E152" s="18">
        <f t="shared" si="25"/>
        <v>2.2371364653243964</v>
      </c>
      <c r="F152" s="18">
        <f t="shared" si="27"/>
        <v>-0.2591733733460666</v>
      </c>
      <c r="G152" s="19">
        <f t="shared" si="28"/>
        <v>10.586811857229272</v>
      </c>
      <c r="H152" s="20">
        <f t="shared" si="18"/>
        <v>26.365270288953411</v>
      </c>
      <c r="I152" s="142">
        <f t="shared" si="26"/>
        <v>1.8654266958424508</v>
      </c>
      <c r="N152" s="10"/>
    </row>
    <row r="153" spans="1:14" ht="15" customHeight="1" x14ac:dyDescent="0.25">
      <c r="A153" s="122">
        <f t="shared" si="23"/>
        <v>146</v>
      </c>
      <c r="B153" s="141" t="s">
        <v>162</v>
      </c>
      <c r="C153" s="16">
        <f>+[1]geral!C47</f>
        <v>1.796</v>
      </c>
      <c r="D153" s="17">
        <f t="shared" si="24"/>
        <v>528.23529411764696</v>
      </c>
      <c r="E153" s="18">
        <f t="shared" si="25"/>
        <v>-1.7505470459518668</v>
      </c>
      <c r="F153" s="18">
        <f t="shared" si="27"/>
        <v>-2.00518346746692</v>
      </c>
      <c r="G153" s="19">
        <f t="shared" si="28"/>
        <v>9.1130012150668414</v>
      </c>
      <c r="H153" s="20">
        <f t="shared" si="18"/>
        <v>24.075993091537139</v>
      </c>
      <c r="I153" s="142">
        <f t="shared" si="26"/>
        <v>1.8986636971046771</v>
      </c>
      <c r="N153" s="10"/>
    </row>
    <row r="154" spans="1:14" ht="15" customHeight="1" x14ac:dyDescent="0.25">
      <c r="A154" s="122">
        <f t="shared" si="23"/>
        <v>147</v>
      </c>
      <c r="B154" s="141" t="s">
        <v>163</v>
      </c>
      <c r="C154" s="16">
        <f>+[1]geral!C48</f>
        <v>1.8360000000000001</v>
      </c>
      <c r="D154" s="17">
        <f t="shared" si="24"/>
        <v>540</v>
      </c>
      <c r="E154" s="18">
        <f t="shared" si="25"/>
        <v>2.2271714922049046</v>
      </c>
      <c r="F154" s="18">
        <f t="shared" si="27"/>
        <v>0.17732915018415785</v>
      </c>
      <c r="G154" s="19">
        <f t="shared" si="28"/>
        <v>1.1625984902749575</v>
      </c>
      <c r="H154" s="20">
        <f t="shared" si="18"/>
        <v>27.438050947456105</v>
      </c>
      <c r="I154" s="142">
        <f t="shared" si="26"/>
        <v>1.8572984749455337</v>
      </c>
      <c r="N154" s="10"/>
    </row>
    <row r="155" spans="1:14" ht="15" customHeight="1" x14ac:dyDescent="0.25">
      <c r="A155" s="122">
        <f t="shared" si="23"/>
        <v>148</v>
      </c>
      <c r="B155" s="141" t="s">
        <v>164</v>
      </c>
      <c r="C155" s="16">
        <f>+[1]geral!C49</f>
        <v>1.8362000000000003</v>
      </c>
      <c r="D155" s="17">
        <f t="shared" si="24"/>
        <v>540.05882352941182</v>
      </c>
      <c r="E155" s="18">
        <f t="shared" si="25"/>
        <v>1.0893246187371197E-2</v>
      </c>
      <c r="F155" s="18">
        <f t="shared" si="27"/>
        <v>0.18824171327240791</v>
      </c>
      <c r="G155" s="19">
        <f t="shared" si="28"/>
        <v>-0.20652173913042748</v>
      </c>
      <c r="H155" s="20">
        <f t="shared" si="18"/>
        <v>20.556759241021627</v>
      </c>
      <c r="I155" s="142">
        <f t="shared" si="26"/>
        <v>1.8570961768870491</v>
      </c>
      <c r="N155" s="10"/>
    </row>
    <row r="156" spans="1:14" ht="15" customHeight="1" x14ac:dyDescent="0.25">
      <c r="A156" s="122">
        <f t="shared" si="23"/>
        <v>149</v>
      </c>
      <c r="B156" s="141" t="s">
        <v>165</v>
      </c>
      <c r="C156" s="16">
        <f>+[1]geral!C50</f>
        <v>1.8080000000000001</v>
      </c>
      <c r="D156" s="17">
        <f t="shared" si="24"/>
        <v>531.76470588235293</v>
      </c>
      <c r="E156" s="18">
        <f t="shared" si="25"/>
        <v>-1.535780416076693</v>
      </c>
      <c r="F156" s="18">
        <f t="shared" si="27"/>
        <v>-1.3504296821716055</v>
      </c>
      <c r="G156" s="19">
        <f t="shared" si="28"/>
        <v>-1.2021857923497303</v>
      </c>
      <c r="H156" s="20">
        <f t="shared" si="18"/>
        <v>18.487450029490795</v>
      </c>
      <c r="I156" s="142">
        <f t="shared" si="26"/>
        <v>1.8860619469026549</v>
      </c>
      <c r="N156" s="10"/>
    </row>
    <row r="157" spans="1:14" ht="15" customHeight="1" x14ac:dyDescent="0.25">
      <c r="A157" s="122">
        <f t="shared" si="23"/>
        <v>150</v>
      </c>
      <c r="B157" s="141" t="s">
        <v>166</v>
      </c>
      <c r="C157" s="16">
        <f>+[1]geral!C51</f>
        <v>1.8180000000000001</v>
      </c>
      <c r="D157" s="17">
        <f t="shared" si="24"/>
        <v>534.70588235294122</v>
      </c>
      <c r="E157" s="18">
        <f t="shared" si="25"/>
        <v>0.5530973451327359</v>
      </c>
      <c r="F157" s="18">
        <f t="shared" si="27"/>
        <v>-0.80480152775883607</v>
      </c>
      <c r="G157" s="19">
        <f t="shared" si="28"/>
        <v>-0.80480152775883607</v>
      </c>
      <c r="H157" s="20">
        <f t="shared" si="18"/>
        <v>11.083954539899787</v>
      </c>
      <c r="I157" s="142">
        <f t="shared" si="26"/>
        <v>1.8756875687568757</v>
      </c>
      <c r="M157" s="11"/>
      <c r="N157" s="10"/>
    </row>
    <row r="158" spans="1:14" ht="15" customHeight="1" x14ac:dyDescent="0.25">
      <c r="A158" s="122">
        <f t="shared" si="23"/>
        <v>151</v>
      </c>
      <c r="B158" s="141" t="s">
        <v>167</v>
      </c>
      <c r="C158" s="16">
        <f>+[1]geral!E40</f>
        <v>1.8240000000000001</v>
      </c>
      <c r="D158" s="17">
        <f t="shared" si="24"/>
        <v>536.47058823529414</v>
      </c>
      <c r="E158" s="18">
        <f t="shared" si="25"/>
        <v>0.33003300330032292</v>
      </c>
      <c r="F158" s="18">
        <f t="shared" ref="F158:F169" si="29">100*((C158/$C$157)-1)</f>
        <v>0.33003300330032292</v>
      </c>
      <c r="G158" s="19">
        <f t="shared" si="28"/>
        <v>-0.65359477124182774</v>
      </c>
      <c r="H158" s="20">
        <f t="shared" si="18"/>
        <v>11.49144254278729</v>
      </c>
      <c r="I158" s="142">
        <f t="shared" si="26"/>
        <v>1.8695175438596492</v>
      </c>
      <c r="N158" s="10"/>
    </row>
    <row r="159" spans="1:14" ht="15" customHeight="1" x14ac:dyDescent="0.25">
      <c r="A159" s="122">
        <f t="shared" si="23"/>
        <v>152</v>
      </c>
      <c r="B159" s="141" t="s">
        <v>168</v>
      </c>
      <c r="C159" s="16">
        <f>+[1]geral!E41</f>
        <v>1.8220000000000001</v>
      </c>
      <c r="D159" s="17">
        <f t="shared" si="24"/>
        <v>535.88235294117646</v>
      </c>
      <c r="E159" s="18">
        <f t="shared" si="25"/>
        <v>-0.10964912280702066</v>
      </c>
      <c r="F159" s="18">
        <f t="shared" si="29"/>
        <v>0.22002200220021528</v>
      </c>
      <c r="G159" s="19">
        <f t="shared" si="28"/>
        <v>-0.8165487207403288</v>
      </c>
      <c r="H159" s="20">
        <f t="shared" si="18"/>
        <v>11.104335630221374</v>
      </c>
      <c r="I159" s="142">
        <f t="shared" si="26"/>
        <v>1.8715697036223931</v>
      </c>
      <c r="N159" s="10"/>
    </row>
    <row r="160" spans="1:14" ht="15" customHeight="1" x14ac:dyDescent="0.25">
      <c r="A160" s="122">
        <f t="shared" si="23"/>
        <v>153</v>
      </c>
      <c r="B160" s="141" t="s">
        <v>169</v>
      </c>
      <c r="C160" s="16">
        <f>+[1]geral!E42</f>
        <v>1.8280000000000001</v>
      </c>
      <c r="D160" s="17">
        <f t="shared" si="24"/>
        <v>537.64705882352939</v>
      </c>
      <c r="E160" s="18">
        <f t="shared" si="25"/>
        <v>0.3293084522502765</v>
      </c>
      <c r="F160" s="18">
        <f t="shared" si="29"/>
        <v>0.55005500550056041</v>
      </c>
      <c r="G160" s="19">
        <f t="shared" si="28"/>
        <v>0.21929824561404132</v>
      </c>
      <c r="H160" s="20">
        <f t="shared" si="18"/>
        <v>11.259890444309196</v>
      </c>
      <c r="I160" s="142">
        <f t="shared" si="26"/>
        <v>1.8654266958424508</v>
      </c>
      <c r="N160" s="10"/>
    </row>
    <row r="161" spans="1:14" ht="15" customHeight="1" x14ac:dyDescent="0.25">
      <c r="A161" s="122">
        <f t="shared" si="23"/>
        <v>154</v>
      </c>
      <c r="B161" s="141" t="s">
        <v>170</v>
      </c>
      <c r="C161" s="16">
        <f>+[1]geral!E43</f>
        <v>1.8420000000000001</v>
      </c>
      <c r="D161" s="17">
        <f t="shared" si="24"/>
        <v>541.76470588235293</v>
      </c>
      <c r="E161" s="18">
        <f t="shared" si="25"/>
        <v>0.76586433260394937</v>
      </c>
      <c r="F161" s="18">
        <f t="shared" si="29"/>
        <v>1.3201320132013139</v>
      </c>
      <c r="G161" s="19">
        <f t="shared" si="28"/>
        <v>1.1532125205930832</v>
      </c>
      <c r="H161" s="20">
        <f t="shared" ref="H161:H224" si="30">100*(C161/C137-1)</f>
        <v>12.413035518125227</v>
      </c>
      <c r="I161" s="142">
        <f t="shared" si="26"/>
        <v>1.8512486427795873</v>
      </c>
      <c r="N161" s="10"/>
    </row>
    <row r="162" spans="1:14" ht="15" customHeight="1" x14ac:dyDescent="0.25">
      <c r="A162" s="122">
        <f t="shared" si="23"/>
        <v>155</v>
      </c>
      <c r="B162" s="141" t="s">
        <v>171</v>
      </c>
      <c r="C162" s="16">
        <f>+[1]geral!E44</f>
        <v>1.835</v>
      </c>
      <c r="D162" s="17">
        <f t="shared" si="24"/>
        <v>539.7058823529411</v>
      </c>
      <c r="E162" s="18">
        <f t="shared" si="25"/>
        <v>-0.38002171552661279</v>
      </c>
      <c r="F162" s="18">
        <f t="shared" si="29"/>
        <v>0.93509350935092606</v>
      </c>
      <c r="G162" s="19">
        <f t="shared" si="28"/>
        <v>0.5479452054794498</v>
      </c>
      <c r="H162" s="20">
        <f t="shared" si="30"/>
        <v>10.748989075985271</v>
      </c>
      <c r="I162" s="142">
        <f t="shared" si="26"/>
        <v>1.8583106267029974</v>
      </c>
      <c r="N162" s="10"/>
    </row>
    <row r="163" spans="1:14" ht="15" customHeight="1" x14ac:dyDescent="0.25">
      <c r="A163" s="122">
        <f t="shared" si="23"/>
        <v>156</v>
      </c>
      <c r="B163" s="141" t="s">
        <v>172</v>
      </c>
      <c r="C163" s="16">
        <f>+[1]geral!E45</f>
        <v>1.8207100000000001</v>
      </c>
      <c r="D163" s="17">
        <f t="shared" si="24"/>
        <v>535.50294117647059</v>
      </c>
      <c r="E163" s="18">
        <f t="shared" si="25"/>
        <v>-0.77874659400544166</v>
      </c>
      <c r="F163" s="18">
        <f t="shared" si="29"/>
        <v>0.14906490649064796</v>
      </c>
      <c r="G163" s="19">
        <f t="shared" si="28"/>
        <v>1.8294183445190182</v>
      </c>
      <c r="H163" s="20">
        <f t="shared" si="30"/>
        <v>10.486680016991334</v>
      </c>
      <c r="I163" s="142">
        <f t="shared" si="26"/>
        <v>1.8728957384756497</v>
      </c>
      <c r="N163" s="10"/>
    </row>
    <row r="164" spans="1:14" ht="15" customHeight="1" x14ac:dyDescent="0.25">
      <c r="A164" s="122">
        <f t="shared" si="23"/>
        <v>157</v>
      </c>
      <c r="B164" s="141" t="s">
        <v>173</v>
      </c>
      <c r="C164" s="16">
        <f>+[1]geral!E46</f>
        <v>1.82213</v>
      </c>
      <c r="D164" s="17">
        <f t="shared" si="24"/>
        <v>535.92058823529408</v>
      </c>
      <c r="E164" s="18">
        <f t="shared" si="25"/>
        <v>7.799155274590408E-2</v>
      </c>
      <c r="F164" s="18">
        <f t="shared" si="29"/>
        <v>0.22717271727172861</v>
      </c>
      <c r="G164" s="19">
        <f t="shared" si="28"/>
        <v>-0.32111597374179235</v>
      </c>
      <c r="H164" s="20">
        <f t="shared" si="30"/>
        <v>10.231699939503924</v>
      </c>
      <c r="I164" s="142">
        <f t="shared" si="26"/>
        <v>1.8714361763430711</v>
      </c>
      <c r="J164" s="8" t="s">
        <v>174</v>
      </c>
      <c r="N164" s="10"/>
    </row>
    <row r="165" spans="1:14" ht="15" customHeight="1" x14ac:dyDescent="0.25">
      <c r="A165" s="122">
        <f t="shared" si="23"/>
        <v>158</v>
      </c>
      <c r="B165" s="141" t="s">
        <v>175</v>
      </c>
      <c r="C165" s="16">
        <f>+[1]geral!E47</f>
        <v>1.81525</v>
      </c>
      <c r="D165" s="17">
        <f t="shared" si="24"/>
        <v>533.89705882352939</v>
      </c>
      <c r="E165" s="18">
        <f t="shared" si="25"/>
        <v>-0.37758008484575223</v>
      </c>
      <c r="F165" s="18">
        <f t="shared" si="29"/>
        <v>-0.15126512651265633</v>
      </c>
      <c r="G165" s="19">
        <f t="shared" si="28"/>
        <v>1.0718262806236112</v>
      </c>
      <c r="H165" s="20">
        <f t="shared" si="30"/>
        <v>10.282503037667091</v>
      </c>
      <c r="I165" s="142">
        <f t="shared" si="26"/>
        <v>1.8785291282192536</v>
      </c>
      <c r="N165" s="10"/>
    </row>
    <row r="166" spans="1:14" ht="15" customHeight="1" x14ac:dyDescent="0.25">
      <c r="A166" s="122">
        <f t="shared" si="23"/>
        <v>159</v>
      </c>
      <c r="B166" s="141" t="s">
        <v>176</v>
      </c>
      <c r="C166" s="16">
        <f>+[1]geral!E48</f>
        <v>1.8089999999999999</v>
      </c>
      <c r="D166" s="17">
        <f t="shared" si="24"/>
        <v>532.05882352941171</v>
      </c>
      <c r="E166" s="18">
        <f t="shared" si="25"/>
        <v>-0.34430519212230726</v>
      </c>
      <c r="F166" s="18">
        <f t="shared" si="29"/>
        <v>-0.49504950495050659</v>
      </c>
      <c r="G166" s="19">
        <f t="shared" si="28"/>
        <v>-1.4705882352941235</v>
      </c>
      <c r="H166" s="20">
        <f t="shared" si="30"/>
        <v>-0.3250867816408598</v>
      </c>
      <c r="I166" s="142">
        <f t="shared" si="26"/>
        <v>1.8850193477059149</v>
      </c>
      <c r="N166" s="10"/>
    </row>
    <row r="167" spans="1:14" ht="15" customHeight="1" x14ac:dyDescent="0.25">
      <c r="A167" s="122">
        <f t="shared" si="23"/>
        <v>160</v>
      </c>
      <c r="B167" s="141" t="s">
        <v>177</v>
      </c>
      <c r="C167" s="16">
        <f>+[1]geral!E49</f>
        <v>1.8146249999999995</v>
      </c>
      <c r="D167" s="17">
        <f t="shared" si="24"/>
        <v>533.71323529411745</v>
      </c>
      <c r="E167" s="18">
        <f t="shared" si="25"/>
        <v>0.31094527363182412</v>
      </c>
      <c r="F167" s="18">
        <f t="shared" si="29"/>
        <v>-0.18564356435646356</v>
      </c>
      <c r="G167" s="19">
        <f t="shared" si="28"/>
        <v>-1.1749809388955867</v>
      </c>
      <c r="H167" s="20">
        <f t="shared" si="30"/>
        <v>-1.3790760869565544</v>
      </c>
      <c r="I167" s="142">
        <f t="shared" si="26"/>
        <v>1.8791761383205903</v>
      </c>
      <c r="N167" s="10"/>
    </row>
    <row r="168" spans="1:14" ht="15" customHeight="1" x14ac:dyDescent="0.25">
      <c r="A168" s="122">
        <f t="shared" si="23"/>
        <v>161</v>
      </c>
      <c r="B168" s="141" t="s">
        <v>178</v>
      </c>
      <c r="C168" s="16">
        <f>+[1]geral!E50</f>
        <v>1.8214999999999997</v>
      </c>
      <c r="D168" s="17">
        <f t="shared" si="24"/>
        <v>535.73529411764696</v>
      </c>
      <c r="E168" s="18">
        <f t="shared" si="25"/>
        <v>0.37886615691948844</v>
      </c>
      <c r="F168" s="18">
        <f t="shared" si="29"/>
        <v>0.19251925192516062</v>
      </c>
      <c r="G168" s="19">
        <f t="shared" si="28"/>
        <v>0.74668141592917348</v>
      </c>
      <c r="H168" s="20">
        <f t="shared" si="30"/>
        <v>-0.46448087431696372</v>
      </c>
      <c r="I168" s="142">
        <f t="shared" si="26"/>
        <v>1.8720834477079333</v>
      </c>
      <c r="N168" s="10"/>
    </row>
    <row r="169" spans="1:14" ht="15" customHeight="1" x14ac:dyDescent="0.25">
      <c r="A169" s="122">
        <f t="shared" si="23"/>
        <v>162</v>
      </c>
      <c r="B169" s="141" t="s">
        <v>179</v>
      </c>
      <c r="C169" s="16">
        <f>+[1]geral!E51</f>
        <v>1.8358750000000001</v>
      </c>
      <c r="D169" s="17">
        <f t="shared" si="24"/>
        <v>539.96323529411768</v>
      </c>
      <c r="E169" s="18">
        <f t="shared" si="25"/>
        <v>0.78918473785345444</v>
      </c>
      <c r="F169" s="18">
        <f t="shared" si="29"/>
        <v>0.98322332233222731</v>
      </c>
      <c r="G169" s="19">
        <f t="shared" si="28"/>
        <v>0.98322332233222731</v>
      </c>
      <c r="H169" s="20">
        <f t="shared" si="30"/>
        <v>0.17050879825399878</v>
      </c>
      <c r="I169" s="142">
        <f t="shared" si="26"/>
        <v>1.8574249336147612</v>
      </c>
      <c r="N169" s="10"/>
    </row>
    <row r="170" spans="1:14" ht="15" customHeight="1" x14ac:dyDescent="0.25">
      <c r="A170" s="122">
        <f t="shared" si="23"/>
        <v>163</v>
      </c>
      <c r="B170" s="141" t="s">
        <v>180</v>
      </c>
      <c r="C170" s="16">
        <f>[1]geral!G40</f>
        <v>1.875</v>
      </c>
      <c r="D170" s="17">
        <f t="shared" si="24"/>
        <v>551.47058823529403</v>
      </c>
      <c r="E170" s="18">
        <f t="shared" si="25"/>
        <v>2.1311363791107762</v>
      </c>
      <c r="F170" s="18">
        <f t="shared" ref="F170:F181" si="31">100*((C170/$C$169)-1)</f>
        <v>2.1311363791107762</v>
      </c>
      <c r="G170" s="19">
        <f t="shared" si="28"/>
        <v>2.796052631578938</v>
      </c>
      <c r="H170" s="20">
        <f t="shared" si="30"/>
        <v>2.1241830065359402</v>
      </c>
      <c r="I170" s="142">
        <f t="shared" si="26"/>
        <v>1.8186666666666667</v>
      </c>
      <c r="N170" s="10"/>
    </row>
    <row r="171" spans="1:14" ht="15" customHeight="1" x14ac:dyDescent="0.25">
      <c r="A171" s="122">
        <f t="shared" si="23"/>
        <v>164</v>
      </c>
      <c r="B171" s="141" t="s">
        <v>181</v>
      </c>
      <c r="C171" s="16">
        <f>[1]geral!G41</f>
        <v>1.8759999999999999</v>
      </c>
      <c r="D171" s="17">
        <f t="shared" si="24"/>
        <v>551.76470588235293</v>
      </c>
      <c r="E171" s="18">
        <f t="shared" si="25"/>
        <v>5.333333333332746E-2</v>
      </c>
      <c r="F171" s="18">
        <f t="shared" si="31"/>
        <v>2.1856063185129671</v>
      </c>
      <c r="G171" s="19">
        <f t="shared" si="28"/>
        <v>2.9637760702524663</v>
      </c>
      <c r="H171" s="20">
        <f t="shared" si="30"/>
        <v>2.1230266739248771</v>
      </c>
      <c r="I171" s="142">
        <f t="shared" si="26"/>
        <v>1.8176972281449895</v>
      </c>
      <c r="N171" s="10"/>
    </row>
    <row r="172" spans="1:14" ht="15" customHeight="1" x14ac:dyDescent="0.25">
      <c r="A172" s="122">
        <f t="shared" si="23"/>
        <v>165</v>
      </c>
      <c r="B172" s="141" t="s">
        <v>182</v>
      </c>
      <c r="C172" s="16">
        <f>[1]geral!G42</f>
        <v>1.8769999999999996</v>
      </c>
      <c r="D172" s="17">
        <f t="shared" si="24"/>
        <v>552.0588235294116</v>
      </c>
      <c r="E172" s="18">
        <f t="shared" si="25"/>
        <v>5.3304904051154622E-2</v>
      </c>
      <c r="F172" s="18">
        <f t="shared" si="31"/>
        <v>2.2400762579151356</v>
      </c>
      <c r="G172" s="19">
        <f t="shared" si="28"/>
        <v>2.6805251641137673</v>
      </c>
      <c r="H172" s="20">
        <f t="shared" si="30"/>
        <v>2.9057017543859365</v>
      </c>
      <c r="I172" s="142">
        <f t="shared" si="26"/>
        <v>1.8167288225892386</v>
      </c>
      <c r="N172" s="10"/>
    </row>
    <row r="173" spans="1:14" ht="15" customHeight="1" x14ac:dyDescent="0.25">
      <c r="A173" s="122">
        <f t="shared" si="23"/>
        <v>166</v>
      </c>
      <c r="B173" s="141" t="s">
        <v>183</v>
      </c>
      <c r="C173" s="16">
        <f>[1]geral!G43</f>
        <v>1.8779999999999999</v>
      </c>
      <c r="D173" s="17">
        <f t="shared" si="24"/>
        <v>552.35294117647049</v>
      </c>
      <c r="E173" s="18">
        <f t="shared" si="25"/>
        <v>5.3276505061283785E-2</v>
      </c>
      <c r="F173" s="18">
        <f t="shared" si="31"/>
        <v>2.2945461973173487</v>
      </c>
      <c r="G173" s="19">
        <f t="shared" si="28"/>
        <v>1.9543973941367865</v>
      </c>
      <c r="H173" s="20">
        <f t="shared" si="30"/>
        <v>3.13014827018121</v>
      </c>
      <c r="I173" s="142">
        <f t="shared" si="26"/>
        <v>1.8157614483493079</v>
      </c>
      <c r="J173" s="8" t="s">
        <v>184</v>
      </c>
      <c r="N173" s="10"/>
    </row>
    <row r="174" spans="1:14" ht="15" customHeight="1" x14ac:dyDescent="0.25">
      <c r="A174" s="122">
        <f t="shared" si="23"/>
        <v>167</v>
      </c>
      <c r="B174" s="141" t="s">
        <v>185</v>
      </c>
      <c r="C174" s="16">
        <f>[1]geral!G44</f>
        <v>2.0459999999999998</v>
      </c>
      <c r="D174" s="17">
        <f t="shared" si="24"/>
        <v>601.76470588235293</v>
      </c>
      <c r="E174" s="18">
        <f t="shared" si="25"/>
        <v>8.9456869009584707</v>
      </c>
      <c r="F174" s="18">
        <f t="shared" si="31"/>
        <v>11.44549601688567</v>
      </c>
      <c r="G174" s="19">
        <f t="shared" si="28"/>
        <v>11.498637602179841</v>
      </c>
      <c r="H174" s="20">
        <f t="shared" si="30"/>
        <v>12.109589041095891</v>
      </c>
      <c r="I174" s="142">
        <f t="shared" si="26"/>
        <v>1.666666666666667</v>
      </c>
      <c r="N174" s="10"/>
    </row>
    <row r="175" spans="1:14" ht="15" customHeight="1" x14ac:dyDescent="0.25">
      <c r="A175" s="122">
        <f t="shared" si="23"/>
        <v>168</v>
      </c>
      <c r="B175" s="141" t="s">
        <v>186</v>
      </c>
      <c r="C175" s="16">
        <f>[1]geral!G45</f>
        <v>2.052</v>
      </c>
      <c r="D175" s="17">
        <f t="shared" si="24"/>
        <v>603.52941176470586</v>
      </c>
      <c r="E175" s="18">
        <f t="shared" si="25"/>
        <v>0.29325513196483133</v>
      </c>
      <c r="F175" s="18">
        <f t="shared" si="31"/>
        <v>11.772315653298836</v>
      </c>
      <c r="G175" s="19">
        <f t="shared" si="28"/>
        <v>12.703286080704789</v>
      </c>
      <c r="H175" s="20">
        <f t="shared" si="30"/>
        <v>14.76510067114094</v>
      </c>
      <c r="I175" s="142">
        <f t="shared" si="26"/>
        <v>1.661793372319688</v>
      </c>
      <c r="N175" s="10"/>
    </row>
    <row r="176" spans="1:14" ht="15" customHeight="1" x14ac:dyDescent="0.25">
      <c r="A176" s="122">
        <f t="shared" si="23"/>
        <v>169</v>
      </c>
      <c r="B176" s="141" t="s">
        <v>187</v>
      </c>
      <c r="C176" s="16">
        <f>[1]geral!G46</f>
        <v>2.1</v>
      </c>
      <c r="D176" s="17">
        <f t="shared" si="24"/>
        <v>617.64705882352939</v>
      </c>
      <c r="E176" s="18">
        <f t="shared" si="25"/>
        <v>2.3391812865497075</v>
      </c>
      <c r="F176" s="18">
        <f t="shared" si="31"/>
        <v>14.386872744604062</v>
      </c>
      <c r="G176" s="19">
        <f t="shared" si="28"/>
        <v>15.249735200013181</v>
      </c>
      <c r="H176" s="20">
        <f t="shared" si="30"/>
        <v>14.879649890590807</v>
      </c>
      <c r="I176" s="142">
        <f t="shared" si="26"/>
        <v>1.6238095238095238</v>
      </c>
      <c r="N176" s="10"/>
    </row>
    <row r="177" spans="1:14" ht="15" customHeight="1" x14ac:dyDescent="0.25">
      <c r="A177" s="122">
        <f t="shared" si="23"/>
        <v>170</v>
      </c>
      <c r="B177" s="141" t="s">
        <v>188</v>
      </c>
      <c r="C177" s="16">
        <f>[1]geral!G47</f>
        <v>2.1030000000000002</v>
      </c>
      <c r="D177" s="17">
        <f t="shared" si="24"/>
        <v>618.52941176470586</v>
      </c>
      <c r="E177" s="18">
        <f t="shared" si="25"/>
        <v>0.14285714285715567</v>
      </c>
      <c r="F177" s="18">
        <f t="shared" si="31"/>
        <v>14.550282562810658</v>
      </c>
      <c r="G177" s="19">
        <f t="shared" si="28"/>
        <v>15.851811045310571</v>
      </c>
      <c r="H177" s="20">
        <f t="shared" si="30"/>
        <v>17.093541202672611</v>
      </c>
      <c r="I177" s="142">
        <f t="shared" si="26"/>
        <v>1.6214931050879695</v>
      </c>
      <c r="N177" s="10"/>
    </row>
    <row r="178" spans="1:14" ht="15" customHeight="1" x14ac:dyDescent="0.25">
      <c r="A178" s="122">
        <f t="shared" si="23"/>
        <v>171</v>
      </c>
      <c r="B178" s="141" t="s">
        <v>189</v>
      </c>
      <c r="C178" s="16">
        <f>[1]geral!G48</f>
        <v>2.105</v>
      </c>
      <c r="D178" s="17">
        <f t="shared" si="24"/>
        <v>619.11764705882354</v>
      </c>
      <c r="E178" s="18">
        <f t="shared" si="25"/>
        <v>9.5102234902499916E-2</v>
      </c>
      <c r="F178" s="18">
        <f t="shared" si="31"/>
        <v>14.659222441615016</v>
      </c>
      <c r="G178" s="19">
        <f t="shared" si="28"/>
        <v>16.362631288004415</v>
      </c>
      <c r="H178" s="20">
        <f t="shared" si="30"/>
        <v>14.651416122004356</v>
      </c>
      <c r="I178" s="142">
        <f t="shared" si="26"/>
        <v>1.6199524940617578</v>
      </c>
      <c r="N178" s="10"/>
    </row>
    <row r="179" spans="1:14" ht="15" customHeight="1" x14ac:dyDescent="0.25">
      <c r="A179" s="122">
        <f t="shared" si="23"/>
        <v>172</v>
      </c>
      <c r="B179" s="141" t="s">
        <v>190</v>
      </c>
      <c r="C179" s="16">
        <f>[1]geral!G49</f>
        <v>2.1059999999999999</v>
      </c>
      <c r="D179" s="17">
        <f t="shared" si="24"/>
        <v>619.41176470588232</v>
      </c>
      <c r="E179" s="18">
        <f t="shared" si="25"/>
        <v>4.7505938242276002E-2</v>
      </c>
      <c r="F179" s="18">
        <f t="shared" si="31"/>
        <v>14.713692381017207</v>
      </c>
      <c r="G179" s="19">
        <f t="shared" si="28"/>
        <v>16.057036577805349</v>
      </c>
      <c r="H179" s="20">
        <f t="shared" si="30"/>
        <v>14.693388519769069</v>
      </c>
      <c r="I179" s="142">
        <f t="shared" si="26"/>
        <v>1.6191832858499526</v>
      </c>
      <c r="N179" s="10"/>
    </row>
    <row r="180" spans="1:14" ht="15" customHeight="1" x14ac:dyDescent="0.25">
      <c r="A180" s="122">
        <f t="shared" si="23"/>
        <v>173</v>
      </c>
      <c r="B180" s="141" t="s">
        <v>191</v>
      </c>
      <c r="C180" s="16">
        <f>[1]geral!G50</f>
        <v>2.1080000000000001</v>
      </c>
      <c r="D180" s="17">
        <f t="shared" si="24"/>
        <v>620</v>
      </c>
      <c r="E180" s="18">
        <f t="shared" si="25"/>
        <v>9.496676163343043E-2</v>
      </c>
      <c r="F180" s="18">
        <f t="shared" si="31"/>
        <v>14.82263225982161</v>
      </c>
      <c r="G180" s="19">
        <f t="shared" si="28"/>
        <v>15.728794949217706</v>
      </c>
      <c r="H180" s="20">
        <f t="shared" si="30"/>
        <v>16.592920353982301</v>
      </c>
      <c r="I180" s="142">
        <f t="shared" si="26"/>
        <v>1.6176470588235294</v>
      </c>
      <c r="N180" s="10"/>
    </row>
    <row r="181" spans="1:14" ht="15" customHeight="1" x14ac:dyDescent="0.25">
      <c r="A181" s="122">
        <f t="shared" si="23"/>
        <v>174</v>
      </c>
      <c r="B181" s="141" t="s">
        <v>192</v>
      </c>
      <c r="C181" s="16">
        <f>[1]geral!G51</f>
        <v>2.1080000000000001</v>
      </c>
      <c r="D181" s="17">
        <f t="shared" si="24"/>
        <v>620</v>
      </c>
      <c r="E181" s="18">
        <f t="shared" si="25"/>
        <v>0</v>
      </c>
      <c r="F181" s="18">
        <f t="shared" si="31"/>
        <v>14.82263225982161</v>
      </c>
      <c r="G181" s="19">
        <f t="shared" si="28"/>
        <v>14.82263225982161</v>
      </c>
      <c r="H181" s="20">
        <f t="shared" si="30"/>
        <v>15.951595159515964</v>
      </c>
      <c r="I181" s="142">
        <f t="shared" si="26"/>
        <v>1.6176470588235294</v>
      </c>
      <c r="N181" s="10"/>
    </row>
    <row r="182" spans="1:14" ht="15" customHeight="1" x14ac:dyDescent="0.25">
      <c r="A182" s="122">
        <f t="shared" si="23"/>
        <v>175</v>
      </c>
      <c r="B182" s="141" t="s">
        <v>193</v>
      </c>
      <c r="C182" s="16">
        <f>[1]geral!I40</f>
        <v>2.1080000000000001</v>
      </c>
      <c r="D182" s="17">
        <f t="shared" si="24"/>
        <v>620</v>
      </c>
      <c r="E182" s="18">
        <f t="shared" si="25"/>
        <v>0</v>
      </c>
      <c r="F182" s="18">
        <f t="shared" ref="F182:F193" si="32">100*((C182/$C$181)-1)</f>
        <v>0</v>
      </c>
      <c r="G182" s="19">
        <f t="shared" si="28"/>
        <v>12.426666666666675</v>
      </c>
      <c r="H182" s="20">
        <f t="shared" si="30"/>
        <v>15.57017543859649</v>
      </c>
      <c r="I182" s="142">
        <f t="shared" si="26"/>
        <v>1.6176470588235294</v>
      </c>
      <c r="N182" s="10"/>
    </row>
    <row r="183" spans="1:14" ht="15" customHeight="1" x14ac:dyDescent="0.25">
      <c r="A183" s="122">
        <f t="shared" si="23"/>
        <v>176</v>
      </c>
      <c r="B183" s="141" t="s">
        <v>194</v>
      </c>
      <c r="C183" s="16">
        <f>[1]geral!I41</f>
        <v>2.1080000000000001</v>
      </c>
      <c r="D183" s="17">
        <f t="shared" si="24"/>
        <v>620</v>
      </c>
      <c r="E183" s="18">
        <f t="shared" si="25"/>
        <v>0</v>
      </c>
      <c r="F183" s="18">
        <f t="shared" si="32"/>
        <v>0</v>
      </c>
      <c r="G183" s="19">
        <f t="shared" si="28"/>
        <v>12.366737739872068</v>
      </c>
      <c r="H183" s="20">
        <f t="shared" si="30"/>
        <v>15.69703622392975</v>
      </c>
      <c r="I183" s="142">
        <f t="shared" si="26"/>
        <v>1.6176470588235294</v>
      </c>
      <c r="N183" s="10"/>
    </row>
    <row r="184" spans="1:14" ht="15" customHeight="1" x14ac:dyDescent="0.25">
      <c r="A184" s="122">
        <f t="shared" si="23"/>
        <v>177</v>
      </c>
      <c r="B184" s="141" t="s">
        <v>195</v>
      </c>
      <c r="C184" s="16">
        <f>[1]geral!I42</f>
        <v>2.1070000000000002</v>
      </c>
      <c r="D184" s="17">
        <f t="shared" si="24"/>
        <v>619.70588235294122</v>
      </c>
      <c r="E184" s="18">
        <f t="shared" si="25"/>
        <v>-4.743833017076815E-2</v>
      </c>
      <c r="F184" s="18">
        <f t="shared" si="32"/>
        <v>-4.743833017076815E-2</v>
      </c>
      <c r="G184" s="19">
        <f t="shared" si="28"/>
        <v>12.253596164091674</v>
      </c>
      <c r="H184" s="20">
        <f t="shared" si="30"/>
        <v>15.262582056892793</v>
      </c>
      <c r="I184" s="142">
        <f t="shared" si="26"/>
        <v>1.6184148077835785</v>
      </c>
      <c r="N184" s="10"/>
    </row>
    <row r="185" spans="1:14" ht="15" customHeight="1" x14ac:dyDescent="0.25">
      <c r="A185" s="122">
        <f t="shared" si="23"/>
        <v>178</v>
      </c>
      <c r="B185" s="141" t="s">
        <v>196</v>
      </c>
      <c r="C185" s="16">
        <f>[1]geral!I43</f>
        <v>2.1070000000000002</v>
      </c>
      <c r="D185" s="17">
        <f t="shared" si="24"/>
        <v>619.70588235294122</v>
      </c>
      <c r="E185" s="18">
        <f t="shared" si="25"/>
        <v>0</v>
      </c>
      <c r="F185" s="18">
        <f t="shared" si="32"/>
        <v>-4.743833017076815E-2</v>
      </c>
      <c r="G185" s="19">
        <f t="shared" si="28"/>
        <v>12.19382321618745</v>
      </c>
      <c r="H185" s="20">
        <f t="shared" si="30"/>
        <v>14.386536373507063</v>
      </c>
      <c r="I185" s="142">
        <f t="shared" si="26"/>
        <v>1.6184148077835785</v>
      </c>
      <c r="N185" s="10"/>
    </row>
    <row r="186" spans="1:14" ht="15" customHeight="1" x14ac:dyDescent="0.25">
      <c r="A186" s="122">
        <f t="shared" si="23"/>
        <v>179</v>
      </c>
      <c r="B186" s="141" t="s">
        <v>197</v>
      </c>
      <c r="C186" s="16">
        <f>[1]geral!I44</f>
        <v>2.1059999999999999</v>
      </c>
      <c r="D186" s="17">
        <f t="shared" si="24"/>
        <v>619.41176470588232</v>
      </c>
      <c r="E186" s="18">
        <f t="shared" si="25"/>
        <v>-4.7460844803048907E-2</v>
      </c>
      <c r="F186" s="18">
        <f t="shared" si="32"/>
        <v>-9.4876660341569607E-2</v>
      </c>
      <c r="G186" s="19">
        <f t="shared" si="28"/>
        <v>2.9325513196480912</v>
      </c>
      <c r="H186" s="20">
        <f t="shared" si="30"/>
        <v>14.768392370572192</v>
      </c>
      <c r="I186" s="142">
        <f t="shared" si="26"/>
        <v>1.6191832858499526</v>
      </c>
      <c r="N186" s="10"/>
    </row>
    <row r="187" spans="1:14" ht="15" customHeight="1" x14ac:dyDescent="0.25">
      <c r="A187" s="122">
        <f t="shared" si="23"/>
        <v>180</v>
      </c>
      <c r="B187" s="141" t="s">
        <v>198</v>
      </c>
      <c r="C187" s="16">
        <f>[1]geral!I45</f>
        <v>2.0219999999999998</v>
      </c>
      <c r="D187" s="17">
        <f t="shared" si="24"/>
        <v>594.7058823529411</v>
      </c>
      <c r="E187" s="18">
        <f t="shared" si="25"/>
        <v>-3.9886039886039892</v>
      </c>
      <c r="F187" s="18">
        <f t="shared" si="32"/>
        <v>-4.0796963946869162</v>
      </c>
      <c r="G187" s="19">
        <f t="shared" si="28"/>
        <v>-1.4619883040935755</v>
      </c>
      <c r="H187" s="20">
        <f t="shared" si="30"/>
        <v>11.055577219875756</v>
      </c>
      <c r="I187" s="142">
        <f t="shared" si="26"/>
        <v>1.6864490603363009</v>
      </c>
      <c r="J187" s="8" t="s">
        <v>199</v>
      </c>
      <c r="N187" s="10"/>
    </row>
    <row r="188" spans="1:14" ht="15" customHeight="1" x14ac:dyDescent="0.25">
      <c r="A188" s="122">
        <f t="shared" si="23"/>
        <v>181</v>
      </c>
      <c r="B188" s="141" t="s">
        <v>200</v>
      </c>
      <c r="C188" s="16">
        <f>[1]geral!I46</f>
        <v>1.9970000000000001</v>
      </c>
      <c r="D188" s="17">
        <f t="shared" si="24"/>
        <v>587.35294117647061</v>
      </c>
      <c r="E188" s="18">
        <f t="shared" si="25"/>
        <v>-1.2363996043521119</v>
      </c>
      <c r="F188" s="18">
        <f t="shared" si="32"/>
        <v>-5.2656546489563532</v>
      </c>
      <c r="G188" s="19">
        <f t="shared" si="28"/>
        <v>-4.9047619047619007</v>
      </c>
      <c r="H188" s="20">
        <f t="shared" si="30"/>
        <v>9.5970100925839574</v>
      </c>
      <c r="I188" s="142">
        <f t="shared" si="26"/>
        <v>1.7075613420130196</v>
      </c>
      <c r="N188" s="10"/>
    </row>
    <row r="189" spans="1:14" ht="15" customHeight="1" x14ac:dyDescent="0.25">
      <c r="A189" s="122">
        <f t="shared" si="23"/>
        <v>182</v>
      </c>
      <c r="B189" s="141" t="s">
        <v>201</v>
      </c>
      <c r="C189" s="16">
        <f>[1]geral!I47</f>
        <v>1.9929999999999994</v>
      </c>
      <c r="D189" s="17">
        <f t="shared" si="24"/>
        <v>586.17647058823513</v>
      </c>
      <c r="E189" s="18">
        <f t="shared" si="25"/>
        <v>-0.20030045067604973</v>
      </c>
      <c r="F189" s="18">
        <f t="shared" si="32"/>
        <v>-5.455407969639503</v>
      </c>
      <c r="G189" s="19">
        <f t="shared" si="28"/>
        <v>-5.23062291963865</v>
      </c>
      <c r="H189" s="20">
        <f t="shared" si="30"/>
        <v>9.7920396639580964</v>
      </c>
      <c r="I189" s="142">
        <f t="shared" si="26"/>
        <v>1.7109884596086307</v>
      </c>
      <c r="N189" s="10"/>
    </row>
    <row r="190" spans="1:14" ht="15" customHeight="1" x14ac:dyDescent="0.25">
      <c r="A190" s="122">
        <f t="shared" si="23"/>
        <v>183</v>
      </c>
      <c r="B190" s="141" t="s">
        <v>202</v>
      </c>
      <c r="C190" s="16">
        <f>[1]geral!I48</f>
        <v>1.9830000000000001</v>
      </c>
      <c r="D190" s="17">
        <f t="shared" si="24"/>
        <v>583.23529411764707</v>
      </c>
      <c r="E190" s="18">
        <f t="shared" si="25"/>
        <v>-0.50175614651276623</v>
      </c>
      <c r="F190" s="18">
        <f t="shared" si="32"/>
        <v>-5.9297912713472511</v>
      </c>
      <c r="G190" s="19">
        <f t="shared" si="28"/>
        <v>-5.7957244655581945</v>
      </c>
      <c r="H190" s="20">
        <f t="shared" si="30"/>
        <v>9.6185737976782768</v>
      </c>
      <c r="I190" s="142">
        <f t="shared" si="26"/>
        <v>1.7196167423096318</v>
      </c>
      <c r="N190" s="10"/>
    </row>
    <row r="191" spans="1:14" ht="15" customHeight="1" x14ac:dyDescent="0.25">
      <c r="A191" s="122">
        <f t="shared" si="23"/>
        <v>184</v>
      </c>
      <c r="B191" s="141" t="s">
        <v>203</v>
      </c>
      <c r="C191" s="16">
        <f>[1]geral!I49</f>
        <v>1.974</v>
      </c>
      <c r="D191" s="17">
        <f t="shared" si="24"/>
        <v>580.58823529411757</v>
      </c>
      <c r="E191" s="18">
        <f t="shared" si="25"/>
        <v>-0.45385779122542047</v>
      </c>
      <c r="F191" s="18">
        <f t="shared" si="32"/>
        <v>-6.3567362428842529</v>
      </c>
      <c r="G191" s="19">
        <f t="shared" si="28"/>
        <v>-6.2678062678062645</v>
      </c>
      <c r="H191" s="20">
        <f t="shared" si="30"/>
        <v>8.7828063649514565</v>
      </c>
      <c r="I191" s="142">
        <f t="shared" si="26"/>
        <v>1.7274569402228979</v>
      </c>
      <c r="N191" s="10"/>
    </row>
    <row r="192" spans="1:14" ht="15" customHeight="1" x14ac:dyDescent="0.25">
      <c r="A192" s="122">
        <f t="shared" si="23"/>
        <v>185</v>
      </c>
      <c r="B192" s="141" t="s">
        <v>204</v>
      </c>
      <c r="C192" s="16">
        <f>[1]geral!I50</f>
        <v>1.9780000000000006</v>
      </c>
      <c r="D192" s="17">
        <f t="shared" si="24"/>
        <v>581.76470588235316</v>
      </c>
      <c r="E192" s="18">
        <f t="shared" si="25"/>
        <v>0.20263424518747186</v>
      </c>
      <c r="F192" s="18">
        <f t="shared" si="32"/>
        <v>-6.1669829222011145</v>
      </c>
      <c r="G192" s="19">
        <f t="shared" si="28"/>
        <v>-6.1669829222011145</v>
      </c>
      <c r="H192" s="20">
        <f t="shared" si="30"/>
        <v>8.5918199286302954</v>
      </c>
      <c r="I192" s="142">
        <f t="shared" si="26"/>
        <v>1.7239635995955507</v>
      </c>
      <c r="N192" s="10"/>
    </row>
    <row r="193" spans="1:14" ht="15" customHeight="1" x14ac:dyDescent="0.25">
      <c r="A193" s="122">
        <f t="shared" si="23"/>
        <v>186</v>
      </c>
      <c r="B193" s="141" t="s">
        <v>205</v>
      </c>
      <c r="C193" s="16">
        <f>[1]geral!I51</f>
        <v>1.9790000000000001</v>
      </c>
      <c r="D193" s="17">
        <f t="shared" si="24"/>
        <v>582.05882352941171</v>
      </c>
      <c r="E193" s="18">
        <f t="shared" si="25"/>
        <v>5.0556117290168068E-2</v>
      </c>
      <c r="F193" s="18">
        <f t="shared" si="32"/>
        <v>-6.1195445920303566</v>
      </c>
      <c r="G193" s="19">
        <f t="shared" si="28"/>
        <v>-6.1195445920303566</v>
      </c>
      <c r="H193" s="20">
        <f t="shared" si="30"/>
        <v>7.7960100769387752</v>
      </c>
      <c r="I193" s="142">
        <f t="shared" si="26"/>
        <v>1.7230924709449216</v>
      </c>
      <c r="N193" s="10"/>
    </row>
    <row r="194" spans="1:14" ht="15" customHeight="1" x14ac:dyDescent="0.25">
      <c r="A194" s="122">
        <f t="shared" si="23"/>
        <v>187</v>
      </c>
      <c r="B194" s="141" t="s">
        <v>206</v>
      </c>
      <c r="C194" s="16">
        <f>[1]geral!K40</f>
        <v>1.986</v>
      </c>
      <c r="D194" s="17">
        <f t="shared" si="24"/>
        <v>584.11764705882342</v>
      </c>
      <c r="E194" s="18">
        <f t="shared" si="25"/>
        <v>0.35371399696815242</v>
      </c>
      <c r="F194" s="18">
        <f t="shared" ref="F194:F205" si="33">100*((C194/$C$193)-1)</f>
        <v>0.35371399696815242</v>
      </c>
      <c r="G194" s="19">
        <f t="shared" si="28"/>
        <v>-5.7874762808349249</v>
      </c>
      <c r="H194" s="20">
        <f t="shared" si="30"/>
        <v>5.9199999999999919</v>
      </c>
      <c r="I194" s="142">
        <f t="shared" si="26"/>
        <v>1.7170191339375631</v>
      </c>
      <c r="N194" s="10"/>
    </row>
    <row r="195" spans="1:14" ht="15" customHeight="1" x14ac:dyDescent="0.25">
      <c r="A195" s="122">
        <f t="shared" si="23"/>
        <v>188</v>
      </c>
      <c r="B195" s="141" t="s">
        <v>207</v>
      </c>
      <c r="C195" s="16">
        <f>[1]geral!K41</f>
        <v>1.9910000000000001</v>
      </c>
      <c r="D195" s="17">
        <f t="shared" si="24"/>
        <v>585.58823529411768</v>
      </c>
      <c r="E195" s="18">
        <f t="shared" si="25"/>
        <v>0.25176233635448853</v>
      </c>
      <c r="F195" s="18">
        <f t="shared" si="33"/>
        <v>0.60636685194541684</v>
      </c>
      <c r="G195" s="19">
        <f t="shared" si="28"/>
        <v>-5.5502846299810287</v>
      </c>
      <c r="H195" s="20">
        <f t="shared" si="30"/>
        <v>6.1300639658848688</v>
      </c>
      <c r="I195" s="142">
        <f t="shared" si="26"/>
        <v>1.7127071823204421</v>
      </c>
      <c r="N195" s="10"/>
    </row>
    <row r="196" spans="1:14" ht="15" customHeight="1" x14ac:dyDescent="0.25">
      <c r="A196" s="122">
        <f t="shared" si="23"/>
        <v>189</v>
      </c>
      <c r="B196" s="141" t="s">
        <v>208</v>
      </c>
      <c r="C196" s="16">
        <f>[1]geral!K42</f>
        <v>1.9890000000000003</v>
      </c>
      <c r="D196" s="17">
        <f t="shared" si="24"/>
        <v>585.00000000000011</v>
      </c>
      <c r="E196" s="18">
        <f t="shared" si="25"/>
        <v>-0.10045203415367521</v>
      </c>
      <c r="F196" s="18">
        <f t="shared" si="33"/>
        <v>0.50530570995452884</v>
      </c>
      <c r="G196" s="19">
        <f t="shared" si="28"/>
        <v>-5.6003796867584166</v>
      </c>
      <c r="H196" s="20">
        <f t="shared" si="30"/>
        <v>5.966968566862052</v>
      </c>
      <c r="I196" s="142">
        <f t="shared" si="26"/>
        <v>1.7144293614881847</v>
      </c>
      <c r="N196" s="10"/>
    </row>
    <row r="197" spans="1:14" ht="15" customHeight="1" x14ac:dyDescent="0.25">
      <c r="A197" s="122">
        <f t="shared" si="23"/>
        <v>190</v>
      </c>
      <c r="B197" s="141" t="s">
        <v>209</v>
      </c>
      <c r="C197" s="16">
        <f>[1]geral!K43</f>
        <v>1.988</v>
      </c>
      <c r="D197" s="17">
        <f t="shared" si="24"/>
        <v>584.70588235294122</v>
      </c>
      <c r="E197" s="18">
        <f t="shared" si="25"/>
        <v>-5.0276520864778185E-2</v>
      </c>
      <c r="F197" s="18">
        <f t="shared" si="33"/>
        <v>0.45477513895906263</v>
      </c>
      <c r="G197" s="19">
        <f t="shared" si="28"/>
        <v>-5.6478405315614761</v>
      </c>
      <c r="H197" s="20">
        <f t="shared" si="30"/>
        <v>5.8572949946751995</v>
      </c>
      <c r="I197" s="142">
        <f t="shared" si="26"/>
        <v>1.7152917505030183</v>
      </c>
      <c r="N197" s="10"/>
    </row>
    <row r="198" spans="1:14" ht="15" customHeight="1" x14ac:dyDescent="0.25">
      <c r="A198" s="122">
        <f t="shared" si="23"/>
        <v>191</v>
      </c>
      <c r="B198" s="141" t="s">
        <v>210</v>
      </c>
      <c r="C198" s="16">
        <f>[1]geral!K44</f>
        <v>1.9860000000000002</v>
      </c>
      <c r="D198" s="17">
        <f t="shared" si="24"/>
        <v>584.11764705882354</v>
      </c>
      <c r="E198" s="18">
        <f t="shared" si="25"/>
        <v>-0.1006036217303663</v>
      </c>
      <c r="F198" s="18">
        <f t="shared" si="33"/>
        <v>0.35371399696817463</v>
      </c>
      <c r="G198" s="19">
        <f t="shared" si="28"/>
        <v>-5.6980056980056819</v>
      </c>
      <c r="H198" s="20">
        <f t="shared" si="30"/>
        <v>-2.9325513196480801</v>
      </c>
      <c r="I198" s="142">
        <f t="shared" si="26"/>
        <v>1.7170191339375629</v>
      </c>
      <c r="N198" s="10"/>
    </row>
    <row r="199" spans="1:14" ht="15" customHeight="1" x14ac:dyDescent="0.25">
      <c r="A199" s="122">
        <f t="shared" si="23"/>
        <v>192</v>
      </c>
      <c r="B199" s="141" t="s">
        <v>211</v>
      </c>
      <c r="C199" s="16">
        <f>[1]geral!K45</f>
        <v>1.9830000000000003</v>
      </c>
      <c r="D199" s="17">
        <f t="shared" si="24"/>
        <v>583.23529411764719</v>
      </c>
      <c r="E199" s="18">
        <f t="shared" si="25"/>
        <v>-0.15105740181268201</v>
      </c>
      <c r="F199" s="18">
        <f t="shared" si="33"/>
        <v>0.20212228398182042</v>
      </c>
      <c r="G199" s="19">
        <f t="shared" si="28"/>
        <v>-1.9287833827892897</v>
      </c>
      <c r="H199" s="20">
        <f t="shared" si="30"/>
        <v>-3.3625730994151892</v>
      </c>
      <c r="I199" s="142">
        <f t="shared" si="26"/>
        <v>1.7196167423096316</v>
      </c>
      <c r="N199" s="10"/>
    </row>
    <row r="200" spans="1:14" ht="15" customHeight="1" x14ac:dyDescent="0.25">
      <c r="A200" s="122">
        <f t="shared" si="23"/>
        <v>193</v>
      </c>
      <c r="B200" s="141" t="s">
        <v>212</v>
      </c>
      <c r="C200" s="16">
        <f>[1]geral!K46</f>
        <v>1.9830000000000001</v>
      </c>
      <c r="D200" s="17">
        <f t="shared" si="24"/>
        <v>583.23529411764707</v>
      </c>
      <c r="E200" s="18">
        <f t="shared" si="25"/>
        <v>-1.1102230246251565E-14</v>
      </c>
      <c r="F200" s="18">
        <f t="shared" si="33"/>
        <v>0.20212228398179821</v>
      </c>
      <c r="G200" s="19">
        <f t="shared" si="28"/>
        <v>-0.70105157736605195</v>
      </c>
      <c r="H200" s="20">
        <f t="shared" si="30"/>
        <v>-5.5714285714285712</v>
      </c>
      <c r="I200" s="142">
        <f t="shared" si="26"/>
        <v>1.7196167423096318</v>
      </c>
      <c r="N200" s="10"/>
    </row>
    <row r="201" spans="1:14" ht="15" customHeight="1" x14ac:dyDescent="0.25">
      <c r="A201" s="122">
        <f t="shared" si="23"/>
        <v>194</v>
      </c>
      <c r="B201" s="141" t="s">
        <v>213</v>
      </c>
      <c r="C201" s="16">
        <f>[1]geral!K47</f>
        <v>1.982</v>
      </c>
      <c r="D201" s="17">
        <f t="shared" si="24"/>
        <v>582.94117647058818</v>
      </c>
      <c r="E201" s="18">
        <f t="shared" si="25"/>
        <v>-5.0428643469491163E-2</v>
      </c>
      <c r="F201" s="18">
        <f t="shared" si="33"/>
        <v>0.15159171298635421</v>
      </c>
      <c r="G201" s="19">
        <f t="shared" si="28"/>
        <v>-0.55193176116404841</v>
      </c>
      <c r="H201" s="20">
        <f t="shared" si="30"/>
        <v>-5.7536852116024768</v>
      </c>
      <c r="I201" s="142">
        <f t="shared" si="26"/>
        <v>1.7204843592330981</v>
      </c>
      <c r="N201" s="10"/>
    </row>
    <row r="202" spans="1:14" ht="15" customHeight="1" x14ac:dyDescent="0.25">
      <c r="A202" s="122">
        <f t="shared" ref="A202:A280" si="34">1+A201</f>
        <v>195</v>
      </c>
      <c r="B202" s="141" t="s">
        <v>214</v>
      </c>
      <c r="C202" s="16">
        <f>[1]geral!K48</f>
        <v>1.9810000000000001</v>
      </c>
      <c r="D202" s="17">
        <f t="shared" ref="D202:D253" si="35">100*C202/$C$8</f>
        <v>582.64705882352939</v>
      </c>
      <c r="E202" s="18">
        <f t="shared" ref="E202:E253" si="36">100*((C202/C201)-1)</f>
        <v>-5.0454086781026586E-2</v>
      </c>
      <c r="F202" s="18">
        <f t="shared" si="33"/>
        <v>0.10106114199091021</v>
      </c>
      <c r="G202" s="19">
        <f t="shared" si="28"/>
        <v>-0.10085728693898233</v>
      </c>
      <c r="H202" s="20">
        <f t="shared" si="30"/>
        <v>-5.8907363420427465</v>
      </c>
      <c r="I202" s="142">
        <f t="shared" ref="I202:I265" si="37">$C$293/C202</f>
        <v>1.7213528520949015</v>
      </c>
      <c r="N202" s="10"/>
    </row>
    <row r="203" spans="1:14" ht="15" customHeight="1" x14ac:dyDescent="0.25">
      <c r="A203" s="122">
        <f t="shared" si="34"/>
        <v>196</v>
      </c>
      <c r="B203" s="141" t="s">
        <v>215</v>
      </c>
      <c r="C203" s="16">
        <f>[1]geral!K49</f>
        <v>1.982</v>
      </c>
      <c r="D203" s="17">
        <f t="shared" si="35"/>
        <v>582.94117647058818</v>
      </c>
      <c r="E203" s="18">
        <f t="shared" si="36"/>
        <v>5.0479555779903151E-2</v>
      </c>
      <c r="F203" s="18">
        <f t="shared" si="33"/>
        <v>0.15159171298635421</v>
      </c>
      <c r="G203" s="19">
        <f t="shared" si="28"/>
        <v>0.40526849037487711</v>
      </c>
      <c r="H203" s="20">
        <f t="shared" si="30"/>
        <v>-5.8879392212725534</v>
      </c>
      <c r="I203" s="142">
        <f t="shared" si="37"/>
        <v>1.7204843592330981</v>
      </c>
      <c r="N203" s="10"/>
    </row>
    <row r="204" spans="1:14" ht="15" customHeight="1" x14ac:dyDescent="0.25">
      <c r="A204" s="122">
        <f t="shared" si="34"/>
        <v>197</v>
      </c>
      <c r="B204" s="141" t="s">
        <v>216</v>
      </c>
      <c r="C204" s="16">
        <f>[1]geral!K50</f>
        <v>1.982</v>
      </c>
      <c r="D204" s="17">
        <f t="shared" si="35"/>
        <v>582.94117647058818</v>
      </c>
      <c r="E204" s="18">
        <f t="shared" si="36"/>
        <v>0</v>
      </c>
      <c r="F204" s="18">
        <f t="shared" si="33"/>
        <v>0.15159171298635421</v>
      </c>
      <c r="G204" s="19">
        <f t="shared" si="28"/>
        <v>0.20222446916073888</v>
      </c>
      <c r="H204" s="20">
        <f t="shared" si="30"/>
        <v>-5.9772296015180304</v>
      </c>
      <c r="I204" s="142">
        <f t="shared" si="37"/>
        <v>1.7204843592330981</v>
      </c>
      <c r="N204" s="10"/>
    </row>
    <row r="205" spans="1:14" ht="15" customHeight="1" x14ac:dyDescent="0.25">
      <c r="A205" s="122">
        <f t="shared" si="34"/>
        <v>198</v>
      </c>
      <c r="B205" s="141" t="s">
        <v>217</v>
      </c>
      <c r="C205" s="16">
        <f>[1]geral!K51</f>
        <v>1.9830000000000001</v>
      </c>
      <c r="D205" s="17">
        <f t="shared" si="35"/>
        <v>583.23529411764707</v>
      </c>
      <c r="E205" s="18">
        <f t="shared" si="36"/>
        <v>5.0454086781037688E-2</v>
      </c>
      <c r="F205" s="18">
        <f t="shared" si="33"/>
        <v>0.20212228398179821</v>
      </c>
      <c r="G205" s="19">
        <f t="shared" si="28"/>
        <v>0.20212228398179821</v>
      </c>
      <c r="H205" s="20">
        <f t="shared" si="30"/>
        <v>-5.9297912713472511</v>
      </c>
      <c r="I205" s="142">
        <f t="shared" si="37"/>
        <v>1.7196167423096318</v>
      </c>
      <c r="N205" s="10"/>
    </row>
    <row r="206" spans="1:14" ht="16.5" customHeight="1" x14ac:dyDescent="0.25">
      <c r="A206" s="122">
        <f t="shared" si="34"/>
        <v>199</v>
      </c>
      <c r="B206" s="15" t="s">
        <v>218</v>
      </c>
      <c r="C206" s="16">
        <f>[1]geral!M40</f>
        <v>1.9950000000000001</v>
      </c>
      <c r="D206" s="17">
        <f t="shared" si="35"/>
        <v>586.76470588235293</v>
      </c>
      <c r="E206" s="18">
        <f t="shared" si="36"/>
        <v>0.60514372163389396</v>
      </c>
      <c r="F206" s="18">
        <f t="shared" ref="F206:F217" si="38">100*((C206/$C$205)-1)</f>
        <v>0.60514372163389396</v>
      </c>
      <c r="G206" s="19">
        <f t="shared" si="28"/>
        <v>0.45317220543807935</v>
      </c>
      <c r="H206" s="20">
        <f t="shared" si="30"/>
        <v>-5.3605313092979117</v>
      </c>
      <c r="I206" s="142">
        <f t="shared" si="37"/>
        <v>1.7092731829573935</v>
      </c>
      <c r="N206" s="10"/>
    </row>
    <row r="207" spans="1:14" ht="16.5" customHeight="1" x14ac:dyDescent="0.25">
      <c r="A207" s="122">
        <f t="shared" si="34"/>
        <v>200</v>
      </c>
      <c r="B207" s="15" t="s">
        <v>219</v>
      </c>
      <c r="C207" s="16">
        <f>[1]geral!M41</f>
        <v>2</v>
      </c>
      <c r="D207" s="17">
        <f t="shared" si="35"/>
        <v>588.23529411764707</v>
      </c>
      <c r="E207" s="18">
        <f t="shared" si="36"/>
        <v>0.25062656641603454</v>
      </c>
      <c r="F207" s="18">
        <f t="shared" si="38"/>
        <v>0.85728693898132757</v>
      </c>
      <c r="G207" s="19">
        <f t="shared" si="28"/>
        <v>0.45203415369161615</v>
      </c>
      <c r="H207" s="20">
        <f t="shared" si="30"/>
        <v>-5.1233396584440261</v>
      </c>
      <c r="I207" s="142">
        <f t="shared" si="37"/>
        <v>1.7050000000000001</v>
      </c>
      <c r="N207" s="10"/>
    </row>
    <row r="208" spans="1:14" ht="16.5" customHeight="1" x14ac:dyDescent="0.25">
      <c r="A208" s="122">
        <f t="shared" si="34"/>
        <v>201</v>
      </c>
      <c r="B208" s="15" t="s">
        <v>220</v>
      </c>
      <c r="C208" s="16">
        <f>[1]geral!M42</f>
        <v>2.008</v>
      </c>
      <c r="D208" s="17">
        <f t="shared" si="35"/>
        <v>590.58823529411768</v>
      </c>
      <c r="E208" s="18">
        <f t="shared" si="36"/>
        <v>0.40000000000000036</v>
      </c>
      <c r="F208" s="18">
        <f t="shared" si="38"/>
        <v>1.2607160867372569</v>
      </c>
      <c r="G208" s="19">
        <f t="shared" si="28"/>
        <v>0.95525389643034142</v>
      </c>
      <c r="H208" s="20">
        <f t="shared" si="30"/>
        <v>-4.69862363550072</v>
      </c>
      <c r="I208" s="142">
        <f t="shared" si="37"/>
        <v>1.6982071713147411</v>
      </c>
      <c r="N208" s="10"/>
    </row>
    <row r="209" spans="1:14" ht="16.5" customHeight="1" x14ac:dyDescent="0.25">
      <c r="A209" s="122">
        <f t="shared" si="34"/>
        <v>202</v>
      </c>
      <c r="B209" s="15" t="s">
        <v>221</v>
      </c>
      <c r="C209" s="16">
        <f>[1]geral!M43</f>
        <v>2.012</v>
      </c>
      <c r="D209" s="17">
        <f t="shared" si="35"/>
        <v>591.76470588235281</v>
      </c>
      <c r="E209" s="18">
        <f t="shared" si="36"/>
        <v>0.19920318725099584</v>
      </c>
      <c r="F209" s="18">
        <f t="shared" si="38"/>
        <v>1.4624306606152215</v>
      </c>
      <c r="G209" s="19">
        <f t="shared" si="28"/>
        <v>1.2072434607645954</v>
      </c>
      <c r="H209" s="20">
        <f t="shared" si="30"/>
        <v>-4.5087802562885688</v>
      </c>
      <c r="I209" s="142">
        <f t="shared" si="37"/>
        <v>1.694831013916501</v>
      </c>
      <c r="N209" s="10"/>
    </row>
    <row r="210" spans="1:14" ht="16.5" customHeight="1" x14ac:dyDescent="0.25">
      <c r="A210" s="122">
        <f t="shared" si="34"/>
        <v>203</v>
      </c>
      <c r="B210" s="15" t="s">
        <v>222</v>
      </c>
      <c r="C210" s="16">
        <f>[1]geral!M44</f>
        <v>2.0099999999999998</v>
      </c>
      <c r="D210" s="17">
        <f t="shared" si="35"/>
        <v>591.17647058823513</v>
      </c>
      <c r="E210" s="18">
        <f t="shared" si="36"/>
        <v>-9.9403578528833858E-2</v>
      </c>
      <c r="F210" s="18">
        <f t="shared" si="38"/>
        <v>1.3615733736762392</v>
      </c>
      <c r="G210" s="19">
        <f t="shared" si="28"/>
        <v>1.2084592145014783</v>
      </c>
      <c r="H210" s="20">
        <f t="shared" si="30"/>
        <v>-4.5584045584045612</v>
      </c>
      <c r="I210" s="142">
        <f t="shared" si="37"/>
        <v>1.6965174129353235</v>
      </c>
      <c r="N210" s="10"/>
    </row>
    <row r="211" spans="1:14" ht="16.5" customHeight="1" x14ac:dyDescent="0.25">
      <c r="A211" s="122">
        <f t="shared" si="34"/>
        <v>204</v>
      </c>
      <c r="B211" s="15" t="s">
        <v>223</v>
      </c>
      <c r="C211" s="16">
        <f>[1]geral!M45</f>
        <v>2.008</v>
      </c>
      <c r="D211" s="17">
        <f t="shared" si="35"/>
        <v>590.58823529411768</v>
      </c>
      <c r="E211" s="18">
        <f t="shared" si="36"/>
        <v>-9.9502487562175279E-2</v>
      </c>
      <c r="F211" s="18">
        <f t="shared" si="38"/>
        <v>1.2607160867372569</v>
      </c>
      <c r="G211" s="19">
        <f t="shared" si="28"/>
        <v>1.2607160867372569</v>
      </c>
      <c r="H211" s="20">
        <f t="shared" si="30"/>
        <v>-0.6923837784371778</v>
      </c>
      <c r="I211" s="142">
        <f t="shared" si="37"/>
        <v>1.6982071713147411</v>
      </c>
      <c r="N211" s="10"/>
    </row>
    <row r="212" spans="1:14" ht="16.5" customHeight="1" x14ac:dyDescent="0.25">
      <c r="A212" s="122">
        <f t="shared" si="34"/>
        <v>205</v>
      </c>
      <c r="B212" s="15" t="s">
        <v>224</v>
      </c>
      <c r="C212" s="16">
        <f>[1]geral!M46</f>
        <v>2.0089999999999999</v>
      </c>
      <c r="D212" s="17">
        <f t="shared" si="35"/>
        <v>590.88235294117635</v>
      </c>
      <c r="E212" s="18">
        <f t="shared" si="36"/>
        <v>4.9800796812737858E-2</v>
      </c>
      <c r="F212" s="18">
        <f t="shared" si="38"/>
        <v>1.311144730206748</v>
      </c>
      <c r="G212" s="19">
        <f t="shared" si="28"/>
        <v>1.311144730206748</v>
      </c>
      <c r="H212" s="20">
        <f t="shared" si="30"/>
        <v>0.60090135202803818</v>
      </c>
      <c r="I212" s="142">
        <f t="shared" si="37"/>
        <v>1.6973618715778995</v>
      </c>
      <c r="N212" s="10"/>
    </row>
    <row r="213" spans="1:14" ht="16.5" customHeight="1" x14ac:dyDescent="0.25">
      <c r="A213" s="122">
        <f t="shared" si="34"/>
        <v>206</v>
      </c>
      <c r="B213" s="15" t="s">
        <v>225</v>
      </c>
      <c r="C213" s="16">
        <f>[1]geral!M47</f>
        <v>2.0089999999999999</v>
      </c>
      <c r="D213" s="17">
        <f t="shared" si="35"/>
        <v>590.88235294117635</v>
      </c>
      <c r="E213" s="18">
        <f t="shared" si="36"/>
        <v>0</v>
      </c>
      <c r="F213" s="18">
        <f t="shared" si="38"/>
        <v>1.311144730206748</v>
      </c>
      <c r="G213" s="19">
        <f t="shared" ref="G213:G253" si="39">100*((C213/C201)-1)</f>
        <v>1.3622603430877955</v>
      </c>
      <c r="H213" s="20">
        <f t="shared" si="30"/>
        <v>0.80280983442049259</v>
      </c>
      <c r="I213" s="142">
        <f t="shared" si="37"/>
        <v>1.6973618715778995</v>
      </c>
      <c r="N213" s="10"/>
    </row>
    <row r="214" spans="1:14" ht="16.5" customHeight="1" x14ac:dyDescent="0.25">
      <c r="A214" s="122">
        <f t="shared" si="34"/>
        <v>207</v>
      </c>
      <c r="B214" s="15" t="s">
        <v>226</v>
      </c>
      <c r="C214" s="16">
        <f>[1]geral!M48</f>
        <v>2.0259999999999998</v>
      </c>
      <c r="D214" s="17">
        <f t="shared" si="35"/>
        <v>595.88235294117635</v>
      </c>
      <c r="E214" s="18">
        <f t="shared" si="36"/>
        <v>0.84619213539074423</v>
      </c>
      <c r="F214" s="18">
        <f t="shared" si="38"/>
        <v>2.1684316691880756</v>
      </c>
      <c r="G214" s="19">
        <f t="shared" si="39"/>
        <v>2.2715800100958861</v>
      </c>
      <c r="H214" s="20">
        <f t="shared" si="30"/>
        <v>2.1684316691880756</v>
      </c>
      <c r="I214" s="142">
        <f t="shared" si="37"/>
        <v>1.6831194471865747</v>
      </c>
      <c r="L214" s="21"/>
      <c r="N214" s="10"/>
    </row>
    <row r="215" spans="1:14" ht="16.5" customHeight="1" x14ac:dyDescent="0.25">
      <c r="A215" s="122">
        <f t="shared" si="34"/>
        <v>208</v>
      </c>
      <c r="B215" s="15" t="s">
        <v>227</v>
      </c>
      <c r="C215" s="16">
        <f>[1]geral!M49</f>
        <v>2.0299999999999998</v>
      </c>
      <c r="D215" s="17">
        <f t="shared" si="35"/>
        <v>597.0588235294116</v>
      </c>
      <c r="E215" s="18">
        <f t="shared" si="36"/>
        <v>0.19743336623889718</v>
      </c>
      <c r="F215" s="18">
        <f t="shared" si="38"/>
        <v>2.3701462430660403</v>
      </c>
      <c r="G215" s="19">
        <f t="shared" si="39"/>
        <v>2.4217961654893871</v>
      </c>
      <c r="H215" s="20">
        <f t="shared" si="30"/>
        <v>2.8368794326240954</v>
      </c>
      <c r="I215" s="142">
        <f t="shared" si="37"/>
        <v>1.6798029556650249</v>
      </c>
      <c r="L215" s="21"/>
      <c r="N215" s="10"/>
    </row>
    <row r="216" spans="1:14" ht="16.5" customHeight="1" x14ac:dyDescent="0.25">
      <c r="A216" s="122">
        <f t="shared" si="34"/>
        <v>209</v>
      </c>
      <c r="B216" s="15" t="s">
        <v>228</v>
      </c>
      <c r="C216" s="16">
        <f>[1]geral!M50</f>
        <v>2.0310000000000001</v>
      </c>
      <c r="D216" s="17">
        <f t="shared" si="35"/>
        <v>597.35294117647061</v>
      </c>
      <c r="E216" s="18">
        <f t="shared" si="36"/>
        <v>4.9261083743856737E-2</v>
      </c>
      <c r="F216" s="18">
        <f t="shared" si="38"/>
        <v>2.4205748865355536</v>
      </c>
      <c r="G216" s="19">
        <f t="shared" si="39"/>
        <v>2.472250252270447</v>
      </c>
      <c r="H216" s="20">
        <f t="shared" si="30"/>
        <v>2.679474216380151</v>
      </c>
      <c r="I216" s="142">
        <f t="shared" si="37"/>
        <v>1.6789758739537173</v>
      </c>
      <c r="L216" s="21"/>
      <c r="N216" s="10"/>
    </row>
    <row r="217" spans="1:14" ht="16.5" customHeight="1" x14ac:dyDescent="0.25">
      <c r="A217" s="122">
        <f t="shared" si="34"/>
        <v>210</v>
      </c>
      <c r="B217" s="15" t="s">
        <v>229</v>
      </c>
      <c r="C217" s="16">
        <f>[1]geral!M51</f>
        <v>2.0329999999999999</v>
      </c>
      <c r="D217" s="17">
        <f t="shared" si="35"/>
        <v>597.94117647058818</v>
      </c>
      <c r="E217" s="18">
        <f t="shared" si="36"/>
        <v>9.8473658296405198E-2</v>
      </c>
      <c r="F217" s="18">
        <f t="shared" si="38"/>
        <v>2.5214321734745138</v>
      </c>
      <c r="G217" s="19">
        <f t="shared" si="39"/>
        <v>2.5214321734745138</v>
      </c>
      <c r="H217" s="20">
        <f t="shared" si="30"/>
        <v>2.7286508337544202</v>
      </c>
      <c r="I217" s="142">
        <f t="shared" si="37"/>
        <v>1.6773241515002462</v>
      </c>
      <c r="L217" s="21"/>
      <c r="N217" s="10"/>
    </row>
    <row r="218" spans="1:14" ht="16.5" customHeight="1" x14ac:dyDescent="0.25">
      <c r="A218" s="122">
        <f t="shared" si="34"/>
        <v>211</v>
      </c>
      <c r="B218" s="15" t="s">
        <v>230</v>
      </c>
      <c r="C218" s="16">
        <f>[1]geral!C55</f>
        <v>2.04</v>
      </c>
      <c r="D218" s="17">
        <f t="shared" si="35"/>
        <v>600</v>
      </c>
      <c r="E218" s="18">
        <f t="shared" si="36"/>
        <v>0.34431874077718305</v>
      </c>
      <c r="F218" s="18">
        <f t="shared" ref="F218:F229" si="40">100*((C218/$C$217)-1)</f>
        <v>0.34431874077718305</v>
      </c>
      <c r="G218" s="19">
        <f t="shared" si="39"/>
        <v>2.2556390977443552</v>
      </c>
      <c r="H218" s="20">
        <f t="shared" si="30"/>
        <v>2.7190332326284095</v>
      </c>
      <c r="I218" s="142">
        <f t="shared" si="37"/>
        <v>1.6715686274509804</v>
      </c>
      <c r="L218" s="21"/>
      <c r="N218" s="10"/>
    </row>
    <row r="219" spans="1:14" ht="16.5" customHeight="1" x14ac:dyDescent="0.25">
      <c r="A219" s="122">
        <f t="shared" si="34"/>
        <v>212</v>
      </c>
      <c r="B219" s="15" t="s">
        <v>231</v>
      </c>
      <c r="C219" s="16">
        <f>[1]geral!C56</f>
        <v>2.0409999999999999</v>
      </c>
      <c r="D219" s="17">
        <f t="shared" si="35"/>
        <v>600.29411764705878</v>
      </c>
      <c r="E219" s="18">
        <f t="shared" si="36"/>
        <v>4.9019607843137081E-2</v>
      </c>
      <c r="F219" s="18">
        <f t="shared" si="40"/>
        <v>0.3935071323167838</v>
      </c>
      <c r="G219" s="19">
        <f t="shared" si="39"/>
        <v>2.0499999999999963</v>
      </c>
      <c r="H219" s="20">
        <f t="shared" si="30"/>
        <v>2.5113008538422799</v>
      </c>
      <c r="I219" s="142">
        <f t="shared" si="37"/>
        <v>1.6707496325330722</v>
      </c>
      <c r="L219" s="21"/>
      <c r="N219" s="10"/>
    </row>
    <row r="220" spans="1:14" ht="16.5" customHeight="1" x14ac:dyDescent="0.25">
      <c r="A220" s="122">
        <f t="shared" si="34"/>
        <v>213</v>
      </c>
      <c r="B220" s="15" t="s">
        <v>232</v>
      </c>
      <c r="C220" s="16">
        <f>[1]geral!C57</f>
        <v>2.0430000000000001</v>
      </c>
      <c r="D220" s="17">
        <f t="shared" si="35"/>
        <v>600.88235294117646</v>
      </c>
      <c r="E220" s="18">
        <f t="shared" si="36"/>
        <v>9.7991180793743915E-2</v>
      </c>
      <c r="F220" s="18">
        <f t="shared" si="40"/>
        <v>0.4918839153959853</v>
      </c>
      <c r="G220" s="19">
        <f t="shared" si="39"/>
        <v>1.7430278884462247</v>
      </c>
      <c r="H220" s="20">
        <f t="shared" si="30"/>
        <v>2.7149321266968229</v>
      </c>
      <c r="I220" s="142">
        <f t="shared" si="37"/>
        <v>1.6691140479686735</v>
      </c>
      <c r="L220" s="21"/>
      <c r="N220" s="10"/>
    </row>
    <row r="221" spans="1:14" ht="16.5" customHeight="1" x14ac:dyDescent="0.25">
      <c r="A221" s="122">
        <f t="shared" si="34"/>
        <v>214</v>
      </c>
      <c r="B221" s="15" t="s">
        <v>233</v>
      </c>
      <c r="C221" s="16">
        <f>[1]geral!C58</f>
        <v>2.0459999999999998</v>
      </c>
      <c r="D221" s="17">
        <f t="shared" si="35"/>
        <v>601.76470588235293</v>
      </c>
      <c r="E221" s="18">
        <f t="shared" si="36"/>
        <v>0.1468428781203901</v>
      </c>
      <c r="F221" s="18">
        <f t="shared" si="40"/>
        <v>0.63944909001474315</v>
      </c>
      <c r="G221" s="19">
        <f t="shared" si="39"/>
        <v>1.6898608349900535</v>
      </c>
      <c r="H221" s="20">
        <f t="shared" si="30"/>
        <v>2.917505030181089</v>
      </c>
      <c r="I221" s="142">
        <f t="shared" si="37"/>
        <v>1.666666666666667</v>
      </c>
      <c r="L221" s="21"/>
      <c r="N221" s="10"/>
    </row>
    <row r="222" spans="1:14" ht="16.5" customHeight="1" x14ac:dyDescent="0.25">
      <c r="A222" s="122">
        <f t="shared" si="34"/>
        <v>215</v>
      </c>
      <c r="B222" s="15" t="s">
        <v>234</v>
      </c>
      <c r="C222" s="16">
        <f>[1]geral!C59</f>
        <v>2.0470000000000002</v>
      </c>
      <c r="D222" s="17">
        <f t="shared" si="35"/>
        <v>602.05882352941182</v>
      </c>
      <c r="E222" s="18">
        <f t="shared" si="36"/>
        <v>4.8875855327490392E-2</v>
      </c>
      <c r="F222" s="18">
        <f t="shared" si="40"/>
        <v>0.6886374815543661</v>
      </c>
      <c r="G222" s="19">
        <f t="shared" si="39"/>
        <v>1.8407960199005258</v>
      </c>
      <c r="H222" s="20">
        <f t="shared" si="30"/>
        <v>3.0715005035246712</v>
      </c>
      <c r="I222" s="142">
        <f t="shared" si="37"/>
        <v>1.6658524670249144</v>
      </c>
      <c r="L222" s="21"/>
      <c r="N222" s="10"/>
    </row>
    <row r="223" spans="1:14" ht="16.5" customHeight="1" x14ac:dyDescent="0.25">
      <c r="A223" s="122">
        <f t="shared" si="34"/>
        <v>216</v>
      </c>
      <c r="B223" s="15" t="s">
        <v>235</v>
      </c>
      <c r="C223" s="16">
        <f>[1]geral!C60</f>
        <v>2.0430000000000001</v>
      </c>
      <c r="D223" s="17">
        <f t="shared" si="35"/>
        <v>600.88235294117646</v>
      </c>
      <c r="E223" s="18">
        <f t="shared" si="36"/>
        <v>-0.19540791402051783</v>
      </c>
      <c r="F223" s="18">
        <f t="shared" si="40"/>
        <v>0.4918839153959853</v>
      </c>
      <c r="G223" s="19">
        <f t="shared" si="39"/>
        <v>1.7430278884462247</v>
      </c>
      <c r="H223" s="20">
        <f t="shared" si="30"/>
        <v>3.0257186081694254</v>
      </c>
      <c r="I223" s="142">
        <f t="shared" si="37"/>
        <v>1.6691140479686735</v>
      </c>
      <c r="L223" s="21"/>
      <c r="N223" s="10"/>
    </row>
    <row r="224" spans="1:14" ht="16.5" customHeight="1" x14ac:dyDescent="0.25">
      <c r="A224" s="122">
        <f t="shared" si="34"/>
        <v>217</v>
      </c>
      <c r="B224" s="15" t="s">
        <v>236</v>
      </c>
      <c r="C224" s="16">
        <f>[1]geral!C61</f>
        <v>2.1039999999999996</v>
      </c>
      <c r="D224" s="17">
        <f t="shared" si="35"/>
        <v>618.82352941176464</v>
      </c>
      <c r="E224" s="18">
        <f t="shared" si="36"/>
        <v>2.9858051884483316</v>
      </c>
      <c r="F224" s="18">
        <f t="shared" si="40"/>
        <v>3.4923757993113425</v>
      </c>
      <c r="G224" s="19">
        <f t="shared" si="39"/>
        <v>4.7287207565953171</v>
      </c>
      <c r="H224" s="20">
        <f t="shared" si="30"/>
        <v>6.101865859808342</v>
      </c>
      <c r="I224" s="142">
        <f t="shared" si="37"/>
        <v>1.6207224334600765</v>
      </c>
      <c r="L224" s="21"/>
      <c r="N224" s="10"/>
    </row>
    <row r="225" spans="1:14" ht="16.5" customHeight="1" x14ac:dyDescent="0.25">
      <c r="A225" s="122">
        <f t="shared" si="34"/>
        <v>218</v>
      </c>
      <c r="B225" s="15" t="s">
        <v>237</v>
      </c>
      <c r="C225" s="16">
        <f>[1]geral!C62</f>
        <v>2.1320000000000001</v>
      </c>
      <c r="D225" s="17">
        <f t="shared" si="35"/>
        <v>627.05882352941182</v>
      </c>
      <c r="E225" s="18">
        <f t="shared" si="36"/>
        <v>1.3307984790874805</v>
      </c>
      <c r="F225" s="18">
        <f t="shared" si="40"/>
        <v>4.8696507624200747</v>
      </c>
      <c r="G225" s="19">
        <f t="shared" si="39"/>
        <v>6.1224489795918435</v>
      </c>
      <c r="H225" s="20">
        <f t="shared" ref="H225:H253" si="41">100*(C225/C201-1)</f>
        <v>7.5681130171543876</v>
      </c>
      <c r="I225" s="142">
        <f t="shared" si="37"/>
        <v>1.5994371482176359</v>
      </c>
      <c r="L225" s="21"/>
      <c r="N225" s="10"/>
    </row>
    <row r="226" spans="1:14" ht="16.5" customHeight="1" x14ac:dyDescent="0.25">
      <c r="A226" s="122">
        <f t="shared" si="34"/>
        <v>219</v>
      </c>
      <c r="B226" s="15" t="s">
        <v>238</v>
      </c>
      <c r="C226" s="16">
        <f>[1]geral!C63</f>
        <v>2.1379999999999999</v>
      </c>
      <c r="D226" s="17">
        <f t="shared" si="35"/>
        <v>628.82352941176464</v>
      </c>
      <c r="E226" s="18">
        <f t="shared" si="36"/>
        <v>0.28142589118198558</v>
      </c>
      <c r="F226" s="18">
        <f t="shared" si="40"/>
        <v>5.164781111657657</v>
      </c>
      <c r="G226" s="19">
        <f t="shared" si="39"/>
        <v>5.5281342546890544</v>
      </c>
      <c r="H226" s="20">
        <f t="shared" si="41"/>
        <v>7.9252902574457273</v>
      </c>
      <c r="I226" s="142">
        <f t="shared" si="37"/>
        <v>1.5949485500467728</v>
      </c>
      <c r="L226" s="21"/>
      <c r="N226" s="10"/>
    </row>
    <row r="227" spans="1:14" ht="16.5" customHeight="1" x14ac:dyDescent="0.25">
      <c r="A227" s="122">
        <f t="shared" si="34"/>
        <v>220</v>
      </c>
      <c r="B227" s="15" t="s">
        <v>239</v>
      </c>
      <c r="C227" s="16">
        <f>[1]geral!C64</f>
        <v>2.1460000000000004</v>
      </c>
      <c r="D227" s="17">
        <f t="shared" si="35"/>
        <v>631.17647058823536</v>
      </c>
      <c r="E227" s="18">
        <f t="shared" si="36"/>
        <v>0.37418147801686619</v>
      </c>
      <c r="F227" s="18">
        <f t="shared" si="40"/>
        <v>5.5582882439744408</v>
      </c>
      <c r="G227" s="19">
        <f t="shared" si="39"/>
        <v>5.7142857142857384</v>
      </c>
      <c r="H227" s="20">
        <f t="shared" si="41"/>
        <v>8.2744702320888273</v>
      </c>
      <c r="I227" s="142">
        <f t="shared" si="37"/>
        <v>1.5890027958993473</v>
      </c>
      <c r="L227" s="21"/>
      <c r="N227" s="10"/>
    </row>
    <row r="228" spans="1:14" ht="16.5" customHeight="1" x14ac:dyDescent="0.25">
      <c r="A228" s="122">
        <f t="shared" si="34"/>
        <v>221</v>
      </c>
      <c r="B228" s="15" t="s">
        <v>240</v>
      </c>
      <c r="C228" s="16">
        <f>[1]geral!C65</f>
        <v>2.15</v>
      </c>
      <c r="D228" s="17">
        <f t="shared" si="35"/>
        <v>632.35294117647049</v>
      </c>
      <c r="E228" s="18">
        <f t="shared" si="36"/>
        <v>0.18639328984153547</v>
      </c>
      <c r="F228" s="18">
        <f t="shared" si="40"/>
        <v>5.7550418101327994</v>
      </c>
      <c r="G228" s="19">
        <f t="shared" si="39"/>
        <v>5.8591826686361204</v>
      </c>
      <c r="H228" s="20">
        <f t="shared" si="41"/>
        <v>8.4762865792129105</v>
      </c>
      <c r="I228" s="142">
        <f t="shared" si="37"/>
        <v>1.5860465116279072</v>
      </c>
      <c r="L228" s="21"/>
      <c r="N228" s="10"/>
    </row>
    <row r="229" spans="1:14" ht="16.5" customHeight="1" x14ac:dyDescent="0.25">
      <c r="A229" s="122">
        <f t="shared" si="34"/>
        <v>222</v>
      </c>
      <c r="B229" s="15" t="s">
        <v>241</v>
      </c>
      <c r="C229" s="16">
        <f>[1]geral!C66</f>
        <v>2.1520000000000006</v>
      </c>
      <c r="D229" s="17">
        <f t="shared" si="35"/>
        <v>632.94117647058829</v>
      </c>
      <c r="E229" s="18">
        <f t="shared" si="36"/>
        <v>9.3023255813995398E-2</v>
      </c>
      <c r="F229" s="18">
        <f t="shared" si="40"/>
        <v>5.8534185932120453</v>
      </c>
      <c r="G229" s="19">
        <f t="shared" si="39"/>
        <v>5.8534185932120453</v>
      </c>
      <c r="H229" s="20">
        <f t="shared" si="41"/>
        <v>8.5224407463439391</v>
      </c>
      <c r="I229" s="142">
        <f t="shared" si="37"/>
        <v>1.5845724907063194</v>
      </c>
      <c r="L229" s="21"/>
      <c r="N229" s="10"/>
    </row>
    <row r="230" spans="1:14" ht="16.5" customHeight="1" x14ac:dyDescent="0.25">
      <c r="A230" s="122">
        <f t="shared" si="34"/>
        <v>223</v>
      </c>
      <c r="B230" s="15" t="s">
        <v>242</v>
      </c>
      <c r="C230" s="16">
        <f>[1]geral!E55</f>
        <v>2.1640000000000001</v>
      </c>
      <c r="D230" s="17">
        <f t="shared" si="35"/>
        <v>636.47058823529414</v>
      </c>
      <c r="E230" s="18">
        <f t="shared" si="36"/>
        <v>0.55762081784385131</v>
      </c>
      <c r="F230" s="18">
        <f t="shared" ref="F230:F241" si="42">100*((C230/$C$229)-1)</f>
        <v>0.55762081784385131</v>
      </c>
      <c r="G230" s="19">
        <f t="shared" si="39"/>
        <v>6.0784313725490202</v>
      </c>
      <c r="H230" s="20">
        <f t="shared" si="41"/>
        <v>8.4711779448621627</v>
      </c>
      <c r="I230" s="142">
        <f t="shared" si="37"/>
        <v>1.575785582255083</v>
      </c>
      <c r="L230" s="21"/>
      <c r="N230" s="10"/>
    </row>
    <row r="231" spans="1:14" ht="16.5" customHeight="1" x14ac:dyDescent="0.25">
      <c r="A231" s="122">
        <f t="shared" si="34"/>
        <v>224</v>
      </c>
      <c r="B231" s="15" t="s">
        <v>243</v>
      </c>
      <c r="C231" s="16">
        <f>[1]geral!E56</f>
        <v>2.2549999999999994</v>
      </c>
      <c r="D231" s="17">
        <f t="shared" si="35"/>
        <v>663.23529411764684</v>
      </c>
      <c r="E231" s="18">
        <f t="shared" si="36"/>
        <v>4.2051756007393415</v>
      </c>
      <c r="F231" s="18">
        <f t="shared" si="42"/>
        <v>4.7862453531597904</v>
      </c>
      <c r="G231" s="19">
        <f t="shared" si="39"/>
        <v>10.485056344928934</v>
      </c>
      <c r="H231" s="20">
        <f t="shared" si="41"/>
        <v>12.749999999999972</v>
      </c>
      <c r="I231" s="142">
        <f t="shared" si="37"/>
        <v>1.51219512195122</v>
      </c>
      <c r="L231" s="21"/>
      <c r="N231" s="10"/>
    </row>
    <row r="232" spans="1:14" ht="16.5" customHeight="1" x14ac:dyDescent="0.25">
      <c r="A232" s="122">
        <f t="shared" si="34"/>
        <v>225</v>
      </c>
      <c r="B232" s="15" t="s">
        <v>244</v>
      </c>
      <c r="C232" s="16">
        <f>[1]geral!E57</f>
        <v>2.3210000000000002</v>
      </c>
      <c r="D232" s="17">
        <f t="shared" si="35"/>
        <v>682.64705882352939</v>
      </c>
      <c r="E232" s="18">
        <f t="shared" si="36"/>
        <v>2.9268292682927077</v>
      </c>
      <c r="F232" s="18">
        <f t="shared" si="42"/>
        <v>7.8531598513010836</v>
      </c>
      <c r="G232" s="19">
        <f t="shared" si="39"/>
        <v>13.607440039158103</v>
      </c>
      <c r="H232" s="20">
        <f t="shared" si="41"/>
        <v>15.587649402390436</v>
      </c>
      <c r="I232" s="142">
        <f t="shared" si="37"/>
        <v>1.4691943127962084</v>
      </c>
      <c r="L232" s="21"/>
      <c r="N232" s="10"/>
    </row>
    <row r="233" spans="1:14" ht="16.5" customHeight="1" x14ac:dyDescent="0.25">
      <c r="A233" s="122">
        <f t="shared" si="34"/>
        <v>226</v>
      </c>
      <c r="B233" s="15" t="s">
        <v>245</v>
      </c>
      <c r="C233" s="16">
        <f>[1]geral!E58</f>
        <v>2.3340000000000001</v>
      </c>
      <c r="D233" s="17">
        <f t="shared" si="35"/>
        <v>686.47058823529403</v>
      </c>
      <c r="E233" s="18">
        <f t="shared" si="36"/>
        <v>0.5601034037052921</v>
      </c>
      <c r="F233" s="18">
        <f t="shared" si="42"/>
        <v>8.4572490706319456</v>
      </c>
      <c r="G233" s="19">
        <f t="shared" si="39"/>
        <v>14.076246334310859</v>
      </c>
      <c r="H233" s="20">
        <f t="shared" si="41"/>
        <v>16.003976143141152</v>
      </c>
      <c r="I233" s="142">
        <f t="shared" si="37"/>
        <v>1.4610111396743788</v>
      </c>
      <c r="L233" s="21"/>
      <c r="N233" s="10"/>
    </row>
    <row r="234" spans="1:14" ht="16.5" customHeight="1" x14ac:dyDescent="0.25">
      <c r="A234" s="122">
        <f t="shared" si="34"/>
        <v>227</v>
      </c>
      <c r="B234" s="15" t="s">
        <v>246</v>
      </c>
      <c r="C234" s="16">
        <f>[1]geral!E59</f>
        <v>2.3340000000000001</v>
      </c>
      <c r="D234" s="17">
        <f t="shared" si="35"/>
        <v>686.47058823529403</v>
      </c>
      <c r="E234" s="18">
        <f t="shared" si="36"/>
        <v>0</v>
      </c>
      <c r="F234" s="18">
        <f t="shared" si="42"/>
        <v>8.4572490706319456</v>
      </c>
      <c r="G234" s="19">
        <f t="shared" si="39"/>
        <v>14.020517830972157</v>
      </c>
      <c r="H234" s="20">
        <f t="shared" si="41"/>
        <v>16.119402985074636</v>
      </c>
      <c r="I234" s="142">
        <f t="shared" si="37"/>
        <v>1.4610111396743788</v>
      </c>
      <c r="L234" s="21"/>
      <c r="N234" s="10"/>
    </row>
    <row r="235" spans="1:14" ht="16.5" customHeight="1" x14ac:dyDescent="0.25">
      <c r="A235" s="122">
        <f t="shared" si="34"/>
        <v>228</v>
      </c>
      <c r="B235" s="15" t="s">
        <v>247</v>
      </c>
      <c r="C235" s="16">
        <f>[1]geral!E60</f>
        <v>2.3340000000000001</v>
      </c>
      <c r="D235" s="17">
        <f t="shared" si="35"/>
        <v>686.47058823529403</v>
      </c>
      <c r="E235" s="18">
        <f t="shared" si="36"/>
        <v>0</v>
      </c>
      <c r="F235" s="18">
        <f t="shared" si="42"/>
        <v>8.4572490706319456</v>
      </c>
      <c r="G235" s="19">
        <f t="shared" si="39"/>
        <v>14.243759177679882</v>
      </c>
      <c r="H235" s="20">
        <f t="shared" si="41"/>
        <v>16.235059760956183</v>
      </c>
      <c r="I235" s="142">
        <f t="shared" si="37"/>
        <v>1.4610111396743788</v>
      </c>
      <c r="L235" s="21"/>
      <c r="N235" s="10"/>
    </row>
    <row r="236" spans="1:14" ht="16.5" customHeight="1" x14ac:dyDescent="0.25">
      <c r="A236" s="122">
        <f t="shared" si="34"/>
        <v>229</v>
      </c>
      <c r="B236" s="15" t="s">
        <v>248</v>
      </c>
      <c r="C236" s="16">
        <f>[1]geral!E61</f>
        <v>2.3330000000000006</v>
      </c>
      <c r="D236" s="17">
        <f t="shared" si="35"/>
        <v>686.17647058823547</v>
      </c>
      <c r="E236" s="18">
        <f t="shared" si="36"/>
        <v>-4.2844901456706719E-2</v>
      </c>
      <c r="F236" s="18">
        <f t="shared" si="42"/>
        <v>8.4107806691449802</v>
      </c>
      <c r="G236" s="19">
        <f t="shared" si="39"/>
        <v>10.88403041825099</v>
      </c>
      <c r="H236" s="20">
        <f t="shared" si="41"/>
        <v>16.127426580388281</v>
      </c>
      <c r="I236" s="142">
        <f t="shared" si="37"/>
        <v>1.4616373767681095</v>
      </c>
      <c r="L236" s="21"/>
      <c r="N236" s="10"/>
    </row>
    <row r="237" spans="1:14" ht="16.5" customHeight="1" x14ac:dyDescent="0.25">
      <c r="A237" s="122">
        <f t="shared" si="34"/>
        <v>230</v>
      </c>
      <c r="B237" s="15" t="s">
        <v>249</v>
      </c>
      <c r="C237" s="16">
        <f>[1]geral!E62</f>
        <v>2.331</v>
      </c>
      <c r="D237" s="17">
        <f t="shared" si="35"/>
        <v>685.58823529411757</v>
      </c>
      <c r="E237" s="18">
        <f t="shared" si="36"/>
        <v>-8.5726532361796171E-2</v>
      </c>
      <c r="F237" s="18">
        <f t="shared" si="42"/>
        <v>8.3178438661709819</v>
      </c>
      <c r="G237" s="19">
        <f t="shared" si="39"/>
        <v>9.333958724202617</v>
      </c>
      <c r="H237" s="20">
        <f t="shared" si="41"/>
        <v>16.027874564459932</v>
      </c>
      <c r="I237" s="142">
        <f t="shared" si="37"/>
        <v>1.4628914628914629</v>
      </c>
      <c r="L237" s="21"/>
      <c r="N237" s="10"/>
    </row>
    <row r="238" spans="1:14" ht="16.5" customHeight="1" x14ac:dyDescent="0.25">
      <c r="A238" s="122">
        <f t="shared" si="34"/>
        <v>231</v>
      </c>
      <c r="B238" s="15" t="s">
        <v>250</v>
      </c>
      <c r="C238" s="16">
        <f>[1]geral!E63</f>
        <v>2.3300000000000005</v>
      </c>
      <c r="D238" s="17">
        <f t="shared" si="35"/>
        <v>685.2941176470589</v>
      </c>
      <c r="E238" s="18">
        <f t="shared" si="36"/>
        <v>-4.2900042900018143E-2</v>
      </c>
      <c r="F238" s="18">
        <f t="shared" si="42"/>
        <v>8.2713754646840165</v>
      </c>
      <c r="G238" s="19">
        <f t="shared" si="39"/>
        <v>8.9803554724041454</v>
      </c>
      <c r="H238" s="20">
        <f t="shared" si="41"/>
        <v>15.004935834156008</v>
      </c>
      <c r="I238" s="142">
        <f t="shared" si="37"/>
        <v>1.4635193133047208</v>
      </c>
      <c r="L238" s="21"/>
      <c r="N238" s="10"/>
    </row>
    <row r="239" spans="1:14" ht="16.5" customHeight="1" x14ac:dyDescent="0.25">
      <c r="A239" s="122">
        <f t="shared" si="34"/>
        <v>232</v>
      </c>
      <c r="B239" s="15" t="s">
        <v>251</v>
      </c>
      <c r="C239" s="16">
        <f>[1]geral!E64</f>
        <v>2.3330000000000006</v>
      </c>
      <c r="D239" s="17">
        <f t="shared" si="35"/>
        <v>686.17647058823547</v>
      </c>
      <c r="E239" s="18">
        <f t="shared" si="36"/>
        <v>0.12875536480687622</v>
      </c>
      <c r="F239" s="18">
        <f t="shared" si="42"/>
        <v>8.4107806691449802</v>
      </c>
      <c r="G239" s="19">
        <f t="shared" si="39"/>
        <v>8.7138863000931988</v>
      </c>
      <c r="H239" s="20">
        <f t="shared" si="41"/>
        <v>14.926108374384285</v>
      </c>
      <c r="I239" s="142">
        <f t="shared" si="37"/>
        <v>1.4616373767681095</v>
      </c>
      <c r="L239" s="21"/>
      <c r="N239" s="10"/>
    </row>
    <row r="240" spans="1:14" ht="16.5" customHeight="1" x14ac:dyDescent="0.25">
      <c r="A240" s="122">
        <f t="shared" si="34"/>
        <v>233</v>
      </c>
      <c r="B240" s="15" t="s">
        <v>252</v>
      </c>
      <c r="C240" s="16">
        <f>[1]geral!E65</f>
        <v>2.3320000000000003</v>
      </c>
      <c r="D240" s="17">
        <f t="shared" si="35"/>
        <v>685.88235294117646</v>
      </c>
      <c r="E240" s="18">
        <f t="shared" si="36"/>
        <v>-4.2863266180892534E-2</v>
      </c>
      <c r="F240" s="18">
        <f t="shared" si="42"/>
        <v>8.3643122676579686</v>
      </c>
      <c r="G240" s="19">
        <f t="shared" si="39"/>
        <v>8.4651162790697843</v>
      </c>
      <c r="H240" s="20">
        <f t="shared" si="41"/>
        <v>14.820285573609059</v>
      </c>
      <c r="I240" s="142">
        <f t="shared" si="37"/>
        <v>1.462264150943396</v>
      </c>
      <c r="L240" s="21"/>
      <c r="N240" s="10"/>
    </row>
    <row r="241" spans="1:14" ht="16.5" customHeight="1" x14ac:dyDescent="0.25">
      <c r="A241" s="122">
        <f t="shared" si="34"/>
        <v>234</v>
      </c>
      <c r="B241" s="15" t="s">
        <v>253</v>
      </c>
      <c r="C241" s="16">
        <f>[1]geral!E66</f>
        <v>2.4750000000000001</v>
      </c>
      <c r="D241" s="17">
        <f t="shared" si="35"/>
        <v>727.94117647058818</v>
      </c>
      <c r="E241" s="18">
        <f t="shared" si="36"/>
        <v>6.1320754716980952</v>
      </c>
      <c r="F241" s="18">
        <f t="shared" si="42"/>
        <v>15.009293680297375</v>
      </c>
      <c r="G241" s="19">
        <f t="shared" si="39"/>
        <v>15.009293680297375</v>
      </c>
      <c r="H241" s="20">
        <f t="shared" si="41"/>
        <v>21.741269060501732</v>
      </c>
      <c r="I241" s="142">
        <f t="shared" si="37"/>
        <v>1.3777777777777778</v>
      </c>
      <c r="L241" s="21"/>
      <c r="N241" s="10"/>
    </row>
    <row r="242" spans="1:14" ht="16.5" customHeight="1" x14ac:dyDescent="0.25">
      <c r="A242" s="122">
        <f t="shared" si="34"/>
        <v>235</v>
      </c>
      <c r="B242" s="15" t="s">
        <v>254</v>
      </c>
      <c r="C242" s="16">
        <f>[1]geral!G55</f>
        <v>2.4869999999999997</v>
      </c>
      <c r="D242" s="17">
        <f t="shared" si="35"/>
        <v>731.47058823529392</v>
      </c>
      <c r="E242" s="18">
        <f t="shared" si="36"/>
        <v>0.48484848484846577</v>
      </c>
      <c r="F242" s="18">
        <f t="shared" ref="F242:F253" si="43">100*((C242/$C$241)-1)</f>
        <v>0.48484848484846577</v>
      </c>
      <c r="G242" s="19">
        <f t="shared" si="39"/>
        <v>14.926062846580379</v>
      </c>
      <c r="H242" s="20">
        <f t="shared" si="41"/>
        <v>21.911764705882341</v>
      </c>
      <c r="I242" s="142">
        <f t="shared" si="37"/>
        <v>1.3711298753518297</v>
      </c>
      <c r="L242" s="21"/>
      <c r="N242" s="10"/>
    </row>
    <row r="243" spans="1:14" ht="16.5" customHeight="1" x14ac:dyDescent="0.25">
      <c r="A243" s="122">
        <f t="shared" si="34"/>
        <v>236</v>
      </c>
      <c r="B243" s="15" t="s">
        <v>255</v>
      </c>
      <c r="C243" s="16">
        <f>[1]geral!G56</f>
        <v>2.4929999999999999</v>
      </c>
      <c r="D243" s="17">
        <f t="shared" si="35"/>
        <v>733.23529411764696</v>
      </c>
      <c r="E243" s="18">
        <f t="shared" si="36"/>
        <v>0.24125452352232735</v>
      </c>
      <c r="F243" s="18">
        <f t="shared" si="43"/>
        <v>0.72727272727270975</v>
      </c>
      <c r="G243" s="19">
        <f t="shared" si="39"/>
        <v>10.554323725055447</v>
      </c>
      <c r="H243" s="20">
        <f t="shared" si="41"/>
        <v>22.146006859382659</v>
      </c>
      <c r="I243" s="142">
        <f t="shared" si="37"/>
        <v>1.3678299237866025</v>
      </c>
      <c r="L243" s="21"/>
      <c r="N243" s="10"/>
    </row>
    <row r="244" spans="1:14" ht="16.5" customHeight="1" x14ac:dyDescent="0.25">
      <c r="A244" s="122">
        <f t="shared" si="34"/>
        <v>237</v>
      </c>
      <c r="B244" s="15" t="s">
        <v>256</v>
      </c>
      <c r="C244" s="16">
        <f>[1]geral!G57</f>
        <v>2.4990000000000001</v>
      </c>
      <c r="D244" s="17">
        <f t="shared" si="35"/>
        <v>735</v>
      </c>
      <c r="E244" s="18">
        <f t="shared" si="36"/>
        <v>0.24067388688329139</v>
      </c>
      <c r="F244" s="18">
        <f t="shared" si="43"/>
        <v>0.96969696969697594</v>
      </c>
      <c r="G244" s="19">
        <f t="shared" si="39"/>
        <v>7.6691081430417807</v>
      </c>
      <c r="H244" s="20">
        <f t="shared" si="41"/>
        <v>22.320117474302492</v>
      </c>
      <c r="I244" s="142">
        <f t="shared" si="37"/>
        <v>1.3645458183273309</v>
      </c>
      <c r="L244" s="21"/>
      <c r="N244" s="10"/>
    </row>
    <row r="245" spans="1:14" ht="16.5" customHeight="1" x14ac:dyDescent="0.25">
      <c r="A245" s="122">
        <f t="shared" si="34"/>
        <v>238</v>
      </c>
      <c r="B245" s="15" t="s">
        <v>257</v>
      </c>
      <c r="C245" s="16">
        <f>[1]geral!G58</f>
        <v>2.5009999999999999</v>
      </c>
      <c r="D245" s="17">
        <f t="shared" si="35"/>
        <v>735.58823529411757</v>
      </c>
      <c r="E245" s="18">
        <f t="shared" si="36"/>
        <v>8.0032012805109076E-2</v>
      </c>
      <c r="F245" s="18">
        <f t="shared" si="43"/>
        <v>1.0505050505050351</v>
      </c>
      <c r="G245" s="19">
        <f t="shared" si="39"/>
        <v>7.1550985432733416</v>
      </c>
      <c r="H245" s="20">
        <f t="shared" si="41"/>
        <v>22.238514173998048</v>
      </c>
      <c r="I245" s="142">
        <f t="shared" si="37"/>
        <v>1.3634546181527389</v>
      </c>
      <c r="L245" s="21"/>
      <c r="N245" s="10"/>
    </row>
    <row r="246" spans="1:14" ht="16.5" customHeight="1" x14ac:dyDescent="0.25">
      <c r="A246" s="122">
        <f t="shared" si="34"/>
        <v>239</v>
      </c>
      <c r="B246" s="15" t="s">
        <v>258</v>
      </c>
      <c r="C246" s="16">
        <f>[1]geral!G59</f>
        <v>2.5</v>
      </c>
      <c r="D246" s="17">
        <f t="shared" si="35"/>
        <v>735.29411764705878</v>
      </c>
      <c r="E246" s="18">
        <f t="shared" si="36"/>
        <v>-3.9984006397442151E-2</v>
      </c>
      <c r="F246" s="18">
        <f t="shared" si="43"/>
        <v>1.0101010101010166</v>
      </c>
      <c r="G246" s="19">
        <f t="shared" si="39"/>
        <v>7.1122536418166238</v>
      </c>
      <c r="H246" s="20">
        <f t="shared" si="41"/>
        <v>22.12994626282363</v>
      </c>
      <c r="I246" s="142">
        <f t="shared" si="37"/>
        <v>1.3640000000000001</v>
      </c>
    </row>
    <row r="247" spans="1:14" ht="16.5" customHeight="1" x14ac:dyDescent="0.25">
      <c r="A247" s="122">
        <f t="shared" si="34"/>
        <v>240</v>
      </c>
      <c r="B247" s="15" t="s">
        <v>259</v>
      </c>
      <c r="C247" s="16">
        <f>[1]geral!G60</f>
        <v>2.5</v>
      </c>
      <c r="D247" s="17">
        <f t="shared" si="35"/>
        <v>735.29411764705878</v>
      </c>
      <c r="E247" s="18">
        <f t="shared" si="36"/>
        <v>0</v>
      </c>
      <c r="F247" s="18">
        <f t="shared" si="43"/>
        <v>1.0101010101010166</v>
      </c>
      <c r="G247" s="19">
        <f t="shared" si="39"/>
        <v>7.1122536418166238</v>
      </c>
      <c r="H247" s="20">
        <f t="shared" si="41"/>
        <v>22.369065100342624</v>
      </c>
      <c r="I247" s="142">
        <f t="shared" si="37"/>
        <v>1.3640000000000001</v>
      </c>
    </row>
    <row r="248" spans="1:14" ht="16.5" customHeight="1" x14ac:dyDescent="0.25">
      <c r="A248" s="122">
        <f t="shared" si="34"/>
        <v>241</v>
      </c>
      <c r="B248" s="15" t="s">
        <v>260</v>
      </c>
      <c r="C248" s="16">
        <f>[1]geral!G61</f>
        <v>2.4990000000000001</v>
      </c>
      <c r="D248" s="17">
        <f t="shared" si="35"/>
        <v>735</v>
      </c>
      <c r="E248" s="18">
        <f t="shared" si="36"/>
        <v>-3.9999999999995595E-2</v>
      </c>
      <c r="F248" s="18">
        <f t="shared" si="43"/>
        <v>0.96969696969697594</v>
      </c>
      <c r="G248" s="19">
        <f t="shared" si="39"/>
        <v>7.1153021860265619</v>
      </c>
      <c r="H248" s="20">
        <f t="shared" si="41"/>
        <v>18.773764258555147</v>
      </c>
      <c r="I248" s="142">
        <f t="shared" si="37"/>
        <v>1.3645458183273309</v>
      </c>
    </row>
    <row r="249" spans="1:14" ht="16.5" customHeight="1" x14ac:dyDescent="0.25">
      <c r="A249" s="122">
        <f t="shared" si="34"/>
        <v>242</v>
      </c>
      <c r="B249" s="15" t="s">
        <v>261</v>
      </c>
      <c r="C249" s="16">
        <f>[1]geral!G62</f>
        <v>2.4990000000000001</v>
      </c>
      <c r="D249" s="17">
        <f t="shared" si="35"/>
        <v>735</v>
      </c>
      <c r="E249" s="18">
        <f t="shared" si="36"/>
        <v>0</v>
      </c>
      <c r="F249" s="18">
        <f t="shared" si="43"/>
        <v>0.96969696969697594</v>
      </c>
      <c r="G249" s="19">
        <f t="shared" si="39"/>
        <v>7.2072072072072224</v>
      </c>
      <c r="H249" s="20">
        <f t="shared" si="41"/>
        <v>17.213883677298302</v>
      </c>
      <c r="I249" s="142">
        <f t="shared" si="37"/>
        <v>1.3645458183273309</v>
      </c>
    </row>
    <row r="250" spans="1:14" ht="16.5" customHeight="1" x14ac:dyDescent="0.25">
      <c r="A250" s="122">
        <f t="shared" si="34"/>
        <v>243</v>
      </c>
      <c r="B250" s="15" t="s">
        <v>262</v>
      </c>
      <c r="C250" s="16">
        <f>[1]geral!G63</f>
        <v>2.5009999999999999</v>
      </c>
      <c r="D250" s="17">
        <f t="shared" si="35"/>
        <v>735.58823529411757</v>
      </c>
      <c r="E250" s="18">
        <f t="shared" si="36"/>
        <v>8.0032012805109076E-2</v>
      </c>
      <c r="F250" s="18">
        <f t="shared" si="43"/>
        <v>1.0505050505050351</v>
      </c>
      <c r="G250" s="19">
        <f t="shared" si="39"/>
        <v>7.3390557939913892</v>
      </c>
      <c r="H250" s="20">
        <f t="shared" si="41"/>
        <v>16.978484565014028</v>
      </c>
      <c r="I250" s="142">
        <f t="shared" si="37"/>
        <v>1.3634546181527389</v>
      </c>
    </row>
    <row r="251" spans="1:14" ht="16.5" customHeight="1" x14ac:dyDescent="0.25">
      <c r="A251" s="122">
        <f t="shared" si="34"/>
        <v>244</v>
      </c>
      <c r="B251" s="15" t="s">
        <v>263</v>
      </c>
      <c r="C251" s="16">
        <f>[1]geral!G64</f>
        <v>2.5</v>
      </c>
      <c r="D251" s="17">
        <f t="shared" si="35"/>
        <v>735.29411764705878</v>
      </c>
      <c r="E251" s="18">
        <f t="shared" si="36"/>
        <v>-3.9984006397442151E-2</v>
      </c>
      <c r="F251" s="18">
        <f t="shared" si="43"/>
        <v>1.0101010101010166</v>
      </c>
      <c r="G251" s="19">
        <f t="shared" si="39"/>
        <v>7.1581654522074212</v>
      </c>
      <c r="H251" s="20">
        <f t="shared" si="41"/>
        <v>16.495806150978542</v>
      </c>
      <c r="I251" s="142">
        <f t="shared" si="37"/>
        <v>1.3640000000000001</v>
      </c>
    </row>
    <row r="252" spans="1:14" ht="16.5" customHeight="1" x14ac:dyDescent="0.25">
      <c r="A252" s="122">
        <f t="shared" si="34"/>
        <v>245</v>
      </c>
      <c r="B252" s="15" t="s">
        <v>264</v>
      </c>
      <c r="C252" s="16">
        <f>[1]geral!G65</f>
        <v>2.6</v>
      </c>
      <c r="D252" s="17">
        <f t="shared" si="35"/>
        <v>764.7058823529411</v>
      </c>
      <c r="E252" s="18">
        <f t="shared" si="36"/>
        <v>4.0000000000000036</v>
      </c>
      <c r="F252" s="18">
        <f t="shared" si="43"/>
        <v>5.0505050505050608</v>
      </c>
      <c r="G252" s="19">
        <f t="shared" si="39"/>
        <v>11.492281303602049</v>
      </c>
      <c r="H252" s="20">
        <f t="shared" si="41"/>
        <v>20.930232558139551</v>
      </c>
      <c r="I252" s="142">
        <f t="shared" si="37"/>
        <v>1.3115384615384615</v>
      </c>
    </row>
    <row r="253" spans="1:14" ht="16.5" customHeight="1" x14ac:dyDescent="0.25">
      <c r="A253" s="122">
        <f t="shared" si="34"/>
        <v>246</v>
      </c>
      <c r="B253" s="15" t="s">
        <v>265</v>
      </c>
      <c r="C253" s="16">
        <f>[1]geral!G66</f>
        <v>2.6069999999999998</v>
      </c>
      <c r="D253" s="17">
        <f t="shared" si="35"/>
        <v>766.76470588235281</v>
      </c>
      <c r="E253" s="18">
        <f t="shared" si="36"/>
        <v>0.26923076923075495</v>
      </c>
      <c r="F253" s="18">
        <f t="shared" si="43"/>
        <v>5.3333333333333233</v>
      </c>
      <c r="G253" s="19">
        <f t="shared" si="39"/>
        <v>5.3333333333333233</v>
      </c>
      <c r="H253" s="20">
        <f t="shared" si="41"/>
        <v>21.143122676579871</v>
      </c>
      <c r="I253" s="142">
        <f t="shared" si="37"/>
        <v>1.308016877637131</v>
      </c>
    </row>
    <row r="254" spans="1:14" ht="16.5" customHeight="1" x14ac:dyDescent="0.25">
      <c r="A254" s="122">
        <f t="shared" si="34"/>
        <v>247</v>
      </c>
      <c r="B254" s="15" t="s">
        <v>266</v>
      </c>
      <c r="C254" s="16">
        <f>[1]geral!I55</f>
        <v>2.613</v>
      </c>
      <c r="D254" s="17">
        <f t="shared" ref="D254:D270" si="44">100*C254/$C$8</f>
        <v>768.52941176470586</v>
      </c>
      <c r="E254" s="18">
        <f t="shared" ref="E254:E270" si="45">100*((C254/C253)-1)</f>
        <v>0.23014959723821615</v>
      </c>
      <c r="F254" s="18">
        <f t="shared" ref="F254:F265" si="46">100*((C254/$C$253)-1)</f>
        <v>0.23014959723821615</v>
      </c>
      <c r="G254" s="19">
        <f t="shared" ref="G254:G270" si="47">100*((C254/C242)-1)</f>
        <v>5.0663449939686522</v>
      </c>
      <c r="H254" s="20">
        <f t="shared" ref="H254:H270" si="48">100*(C254/C230-1)</f>
        <v>20.748613678373374</v>
      </c>
      <c r="I254" s="142">
        <f t="shared" si="37"/>
        <v>1.3050133945656335</v>
      </c>
    </row>
    <row r="255" spans="1:14" ht="16.5" customHeight="1" x14ac:dyDescent="0.25">
      <c r="A255" s="122">
        <f t="shared" si="34"/>
        <v>248</v>
      </c>
      <c r="B255" s="15" t="s">
        <v>267</v>
      </c>
      <c r="C255" s="16">
        <f>[1]geral!I56</f>
        <v>2.8079999999999998</v>
      </c>
      <c r="D255" s="17">
        <f t="shared" si="44"/>
        <v>825.88235294117624</v>
      </c>
      <c r="E255" s="18">
        <f t="shared" si="45"/>
        <v>7.4626865671641784</v>
      </c>
      <c r="F255" s="18">
        <f t="shared" si="46"/>
        <v>7.7100115074798747</v>
      </c>
      <c r="G255" s="19">
        <f t="shared" si="47"/>
        <v>12.635379061371843</v>
      </c>
      <c r="H255" s="20">
        <f t="shared" si="48"/>
        <v>24.523281596452364</v>
      </c>
      <c r="I255" s="142">
        <f t="shared" si="37"/>
        <v>1.2143874643874646</v>
      </c>
    </row>
    <row r="256" spans="1:14" ht="16.5" customHeight="1" x14ac:dyDescent="0.25">
      <c r="A256" s="122">
        <f t="shared" si="34"/>
        <v>249</v>
      </c>
      <c r="B256" s="15" t="str">
        <f>[1]Diesel_S500!$B256</f>
        <v>MARÇO|15</v>
      </c>
      <c r="C256" s="16">
        <f>[1]geral!I57</f>
        <v>2.8099999999999996</v>
      </c>
      <c r="D256" s="17">
        <f t="shared" si="44"/>
        <v>826.47058823529392</v>
      </c>
      <c r="E256" s="18">
        <f t="shared" si="45"/>
        <v>7.1225071225056169E-2</v>
      </c>
      <c r="F256" s="18">
        <f t="shared" si="46"/>
        <v>7.7867280398925987</v>
      </c>
      <c r="G256" s="19">
        <f t="shared" si="47"/>
        <v>12.44497799119646</v>
      </c>
      <c r="H256" s="20">
        <f t="shared" si="48"/>
        <v>21.068504954760847</v>
      </c>
      <c r="I256" s="142">
        <f t="shared" si="37"/>
        <v>1.2135231316725981</v>
      </c>
    </row>
    <row r="257" spans="1:9" ht="16.5" customHeight="1" x14ac:dyDescent="0.25">
      <c r="A257" s="122">
        <f t="shared" si="34"/>
        <v>250</v>
      </c>
      <c r="B257" s="15" t="str">
        <f>[1]Diesel_S500!$B257</f>
        <v>ABRIL|15</v>
      </c>
      <c r="C257" s="16">
        <f>[1]geral!I58</f>
        <v>2.8090000000000006</v>
      </c>
      <c r="D257" s="17">
        <f t="shared" si="44"/>
        <v>826.17647058823536</v>
      </c>
      <c r="E257" s="18">
        <f t="shared" si="45"/>
        <v>-3.5587188612062892E-2</v>
      </c>
      <c r="F257" s="18">
        <f t="shared" si="46"/>
        <v>7.74836977368627</v>
      </c>
      <c r="G257" s="19">
        <f t="shared" si="47"/>
        <v>12.315073970411872</v>
      </c>
      <c r="H257" s="20">
        <f t="shared" si="48"/>
        <v>20.351328191945186</v>
      </c>
      <c r="I257" s="142">
        <f t="shared" si="37"/>
        <v>1.213955144179423</v>
      </c>
    </row>
    <row r="258" spans="1:9" ht="16.5" customHeight="1" x14ac:dyDescent="0.25">
      <c r="A258" s="122">
        <f t="shared" si="34"/>
        <v>251</v>
      </c>
      <c r="B258" s="15" t="str">
        <f>[1]Diesel_S500!$B258</f>
        <v>MAIO|15</v>
      </c>
      <c r="C258" s="16">
        <f>[1]geral!I59</f>
        <v>2.8069999999999995</v>
      </c>
      <c r="D258" s="17">
        <f t="shared" si="44"/>
        <v>825.58823529411734</v>
      </c>
      <c r="E258" s="18">
        <f t="shared" si="45"/>
        <v>-7.1199715201175628E-2</v>
      </c>
      <c r="F258" s="18">
        <f t="shared" si="46"/>
        <v>7.6716532412734795</v>
      </c>
      <c r="G258" s="19">
        <f t="shared" si="47"/>
        <v>12.27999999999998</v>
      </c>
      <c r="H258" s="20">
        <f t="shared" si="48"/>
        <v>20.265638389031682</v>
      </c>
      <c r="I258" s="142">
        <f t="shared" si="37"/>
        <v>1.2148200926255792</v>
      </c>
    </row>
    <row r="259" spans="1:9" ht="16.5" customHeight="1" x14ac:dyDescent="0.25">
      <c r="A259" s="122">
        <f t="shared" si="34"/>
        <v>252</v>
      </c>
      <c r="B259" s="15" t="str">
        <f>[1]Diesel_S500!$B259</f>
        <v>JUNHO|15</v>
      </c>
      <c r="C259" s="16">
        <f>[1]geral!I60</f>
        <v>2.8069999999999995</v>
      </c>
      <c r="D259" s="17">
        <f t="shared" si="44"/>
        <v>825.58823529411734</v>
      </c>
      <c r="E259" s="18">
        <f t="shared" si="45"/>
        <v>0</v>
      </c>
      <c r="F259" s="18">
        <f t="shared" si="46"/>
        <v>7.6716532412734795</v>
      </c>
      <c r="G259" s="19">
        <f t="shared" si="47"/>
        <v>12.27999999999998</v>
      </c>
      <c r="H259" s="20">
        <f t="shared" si="48"/>
        <v>20.265638389031682</v>
      </c>
      <c r="I259" s="142">
        <f t="shared" si="37"/>
        <v>1.2148200926255792</v>
      </c>
    </row>
    <row r="260" spans="1:9" ht="16.5" customHeight="1" x14ac:dyDescent="0.25">
      <c r="A260" s="122">
        <f t="shared" si="34"/>
        <v>253</v>
      </c>
      <c r="B260" s="15" t="str">
        <f>[1]Diesel_S500!$B260</f>
        <v>JULHO|15</v>
      </c>
      <c r="C260" s="16">
        <f>[1]geral!I61</f>
        <v>2.8050000000000002</v>
      </c>
      <c r="D260" s="17">
        <f t="shared" si="44"/>
        <v>824.99999999999989</v>
      </c>
      <c r="E260" s="18">
        <f t="shared" si="45"/>
        <v>-7.1250445315262922E-2</v>
      </c>
      <c r="F260" s="18">
        <f t="shared" si="46"/>
        <v>7.5949367088607778</v>
      </c>
      <c r="G260" s="19">
        <f t="shared" si="47"/>
        <v>12.244897959183664</v>
      </c>
      <c r="H260" s="20">
        <f t="shared" si="48"/>
        <v>20.231461637376746</v>
      </c>
      <c r="I260" s="142">
        <f t="shared" si="37"/>
        <v>1.2156862745098038</v>
      </c>
    </row>
    <row r="261" spans="1:9" ht="16.5" customHeight="1" x14ac:dyDescent="0.25">
      <c r="A261" s="122">
        <f t="shared" si="34"/>
        <v>254</v>
      </c>
      <c r="B261" s="15" t="str">
        <f>[1]Diesel_S500!$B261</f>
        <v>AGOSTO|15</v>
      </c>
      <c r="C261" s="16">
        <f>[1]geral!I62</f>
        <v>2.7989999999999999</v>
      </c>
      <c r="D261" s="17">
        <f t="shared" si="44"/>
        <v>823.23529411764696</v>
      </c>
      <c r="E261" s="18">
        <f t="shared" si="45"/>
        <v>-0.21390374331551332</v>
      </c>
      <c r="F261" s="18">
        <f t="shared" si="46"/>
        <v>7.3647871116225616</v>
      </c>
      <c r="G261" s="19">
        <f t="shared" si="47"/>
        <v>12.004801920768294</v>
      </c>
      <c r="H261" s="20">
        <f t="shared" si="48"/>
        <v>20.077220077220083</v>
      </c>
      <c r="I261" s="142">
        <f t="shared" si="37"/>
        <v>1.2182922472311541</v>
      </c>
    </row>
    <row r="262" spans="1:9" ht="16.5" customHeight="1" x14ac:dyDescent="0.25">
      <c r="A262" s="122">
        <f t="shared" si="34"/>
        <v>255</v>
      </c>
      <c r="B262" s="15" t="str">
        <f>[1]Diesel_S500!$B262</f>
        <v>SETEMBRO|15</v>
      </c>
      <c r="C262" s="16">
        <f>[1]geral!I63</f>
        <v>2.8129999999999997</v>
      </c>
      <c r="D262" s="17">
        <f t="shared" si="44"/>
        <v>827.35294117647038</v>
      </c>
      <c r="E262" s="18">
        <f t="shared" si="45"/>
        <v>0.50017863522686667</v>
      </c>
      <c r="F262" s="18">
        <f t="shared" si="46"/>
        <v>7.9018028385116956</v>
      </c>
      <c r="G262" s="19">
        <f t="shared" si="47"/>
        <v>12.475009996001596</v>
      </c>
      <c r="H262" s="20">
        <f t="shared" si="48"/>
        <v>20.729613733905538</v>
      </c>
      <c r="I262" s="142">
        <f t="shared" si="37"/>
        <v>1.212228937077853</v>
      </c>
    </row>
    <row r="263" spans="1:9" ht="16.5" customHeight="1" x14ac:dyDescent="0.25">
      <c r="A263" s="122">
        <f t="shared" si="34"/>
        <v>256</v>
      </c>
      <c r="B263" s="15" t="str">
        <f>[1]Diesel_S500!$B263</f>
        <v>OUTUBRO|15</v>
      </c>
      <c r="C263" s="16">
        <f>[1]geral!I64</f>
        <v>2.93</v>
      </c>
      <c r="D263" s="17">
        <f t="shared" si="44"/>
        <v>861.76470588235293</v>
      </c>
      <c r="E263" s="18">
        <f t="shared" si="45"/>
        <v>4.1592605758976386</v>
      </c>
      <c r="F263" s="18">
        <f t="shared" si="46"/>
        <v>12.389719984656701</v>
      </c>
      <c r="G263" s="19">
        <f t="shared" si="47"/>
        <v>17.200000000000017</v>
      </c>
      <c r="H263" s="20">
        <f t="shared" si="48"/>
        <v>25.589369909987102</v>
      </c>
      <c r="I263" s="142">
        <f t="shared" si="37"/>
        <v>1.1638225255972696</v>
      </c>
    </row>
    <row r="264" spans="1:9" ht="16.5" customHeight="1" x14ac:dyDescent="0.25">
      <c r="A264" s="122">
        <f t="shared" si="34"/>
        <v>257</v>
      </c>
      <c r="B264" s="15" t="str">
        <f>[1]Diesel_S500!$B264</f>
        <v>NOVEMBRO|15</v>
      </c>
      <c r="C264" s="16">
        <f>[1]geral!I65</f>
        <v>2.9769999999999999</v>
      </c>
      <c r="D264" s="17">
        <f t="shared" si="44"/>
        <v>875.58823529411757</v>
      </c>
      <c r="E264" s="18">
        <f t="shared" si="45"/>
        <v>1.6040955631399179</v>
      </c>
      <c r="F264" s="18">
        <f t="shared" si="46"/>
        <v>14.192558496355968</v>
      </c>
      <c r="G264" s="19">
        <f t="shared" si="47"/>
        <v>14.500000000000002</v>
      </c>
      <c r="H264" s="20">
        <f t="shared" si="48"/>
        <v>27.658662092624333</v>
      </c>
      <c r="I264" s="142">
        <f t="shared" si="37"/>
        <v>1.1454484380248573</v>
      </c>
    </row>
    <row r="265" spans="1:9" ht="16.5" customHeight="1" x14ac:dyDescent="0.25">
      <c r="A265" s="122">
        <f t="shared" si="34"/>
        <v>258</v>
      </c>
      <c r="B265" s="15" t="str">
        <f>[1]Diesel_S500!$B265</f>
        <v>DEZEMBRO|15</v>
      </c>
      <c r="C265" s="16">
        <f>[1]geral!I66</f>
        <v>2.9860000000000002</v>
      </c>
      <c r="D265" s="17">
        <f t="shared" si="44"/>
        <v>878.23529411764707</v>
      </c>
      <c r="E265" s="18">
        <f t="shared" si="45"/>
        <v>0.30231776956668455</v>
      </c>
      <c r="F265" s="18">
        <f t="shared" si="46"/>
        <v>14.537782892213279</v>
      </c>
      <c r="G265" s="19">
        <f t="shared" si="47"/>
        <v>14.537782892213279</v>
      </c>
      <c r="H265" s="20">
        <f t="shared" si="48"/>
        <v>20.646464646464647</v>
      </c>
      <c r="I265" s="142">
        <f t="shared" si="37"/>
        <v>1.1419959812458138</v>
      </c>
    </row>
    <row r="266" spans="1:9" ht="16.5" customHeight="1" x14ac:dyDescent="0.25">
      <c r="A266" s="122">
        <f t="shared" si="34"/>
        <v>259</v>
      </c>
      <c r="B266" s="15" t="str">
        <f>[1]Diesel_S500!$B266</f>
        <v>JANEIRO|16</v>
      </c>
      <c r="C266" s="16">
        <f>[1]geral!K55</f>
        <v>3.0100000000000002</v>
      </c>
      <c r="D266" s="17">
        <f t="shared" si="44"/>
        <v>885.29411764705878</v>
      </c>
      <c r="E266" s="18">
        <f t="shared" si="45"/>
        <v>0.80375083724044671</v>
      </c>
      <c r="F266" s="18">
        <f t="shared" ref="F266:F271" si="49">100*((C266/$C$265)-1)</f>
        <v>0.80375083724044671</v>
      </c>
      <c r="G266" s="19">
        <f t="shared" si="47"/>
        <v>15.193264446995801</v>
      </c>
      <c r="H266" s="20">
        <f t="shared" si="48"/>
        <v>21.029352633695233</v>
      </c>
      <c r="I266" s="142">
        <f t="shared" ref="I266:I293" si="50">$C$293/C266</f>
        <v>1.132890365448505</v>
      </c>
    </row>
    <row r="267" spans="1:9" ht="16.5" customHeight="1" x14ac:dyDescent="0.25">
      <c r="A267" s="122">
        <f t="shared" si="34"/>
        <v>260</v>
      </c>
      <c r="B267" s="15" t="str">
        <f>[1]Diesel_S500!$B267</f>
        <v>FEVEREIRO|16</v>
      </c>
      <c r="C267" s="16">
        <f>[1]geral!K56</f>
        <v>3.02</v>
      </c>
      <c r="D267" s="17">
        <f t="shared" si="44"/>
        <v>888.23529411764696</v>
      </c>
      <c r="E267" s="18">
        <f t="shared" si="45"/>
        <v>0.33222591362125353</v>
      </c>
      <c r="F267" s="18">
        <f t="shared" si="49"/>
        <v>1.1386470194239662</v>
      </c>
      <c r="G267" s="19">
        <f t="shared" si="47"/>
        <v>7.5498575498575526</v>
      </c>
      <c r="H267" s="20">
        <f t="shared" si="48"/>
        <v>21.139189731247509</v>
      </c>
      <c r="I267" s="142">
        <f t="shared" si="50"/>
        <v>1.1291390728476822</v>
      </c>
    </row>
    <row r="268" spans="1:9" ht="16.5" customHeight="1" x14ac:dyDescent="0.25">
      <c r="A268" s="122">
        <f t="shared" si="34"/>
        <v>261</v>
      </c>
      <c r="B268" s="15" t="str">
        <f>[1]Diesel_S500!$B268</f>
        <v>MARÇO|16</v>
      </c>
      <c r="C268" s="16">
        <f>[1]geral!K57</f>
        <v>3.0210000000000004</v>
      </c>
      <c r="D268" s="17">
        <f t="shared" si="44"/>
        <v>888.52941176470586</v>
      </c>
      <c r="E268" s="18">
        <f t="shared" si="45"/>
        <v>3.3112582781469335E-2</v>
      </c>
      <c r="F268" s="18">
        <f t="shared" si="49"/>
        <v>1.1721366376423292</v>
      </c>
      <c r="G268" s="19">
        <f t="shared" si="47"/>
        <v>7.5088967971530529</v>
      </c>
      <c r="H268" s="20">
        <f t="shared" si="48"/>
        <v>20.888355342136865</v>
      </c>
      <c r="I268" s="142">
        <f t="shared" si="50"/>
        <v>1.1287653095001655</v>
      </c>
    </row>
    <row r="269" spans="1:9" ht="16.5" customHeight="1" x14ac:dyDescent="0.25">
      <c r="A269" s="122">
        <f t="shared" si="34"/>
        <v>262</v>
      </c>
      <c r="B269" s="15" t="str">
        <f>[1]Diesel_S500!$B269</f>
        <v>ABRIL|16</v>
      </c>
      <c r="C269" s="16">
        <f>[1]geral!K58</f>
        <v>3.0210000000000004</v>
      </c>
      <c r="D269" s="17">
        <f t="shared" si="44"/>
        <v>888.52941176470586</v>
      </c>
      <c r="E269" s="18">
        <f t="shared" si="45"/>
        <v>0</v>
      </c>
      <c r="F269" s="18">
        <f t="shared" si="49"/>
        <v>1.1721366376423292</v>
      </c>
      <c r="G269" s="19">
        <f t="shared" si="47"/>
        <v>7.547169811320753</v>
      </c>
      <c r="H269" s="20">
        <f t="shared" si="48"/>
        <v>20.791683326669343</v>
      </c>
      <c r="I269" s="142">
        <f t="shared" si="50"/>
        <v>1.1287653095001655</v>
      </c>
    </row>
    <row r="270" spans="1:9" ht="16.5" customHeight="1" x14ac:dyDescent="0.25">
      <c r="A270" s="122">
        <f t="shared" si="34"/>
        <v>263</v>
      </c>
      <c r="B270" s="15" t="str">
        <f>[1]Diesel_S500!$B270</f>
        <v>MAIO|16</v>
      </c>
      <c r="C270" s="16">
        <f>[1]geral!K59</f>
        <v>3.0150000000000001</v>
      </c>
      <c r="D270" s="17">
        <f t="shared" si="44"/>
        <v>886.76470588235293</v>
      </c>
      <c r="E270" s="18">
        <f t="shared" si="45"/>
        <v>-0.19860973187686426</v>
      </c>
      <c r="F270" s="18">
        <f t="shared" si="49"/>
        <v>0.97119892833221755</v>
      </c>
      <c r="G270" s="19">
        <f t="shared" si="47"/>
        <v>7.4100463127894756</v>
      </c>
      <c r="H270" s="20">
        <f t="shared" si="48"/>
        <v>20.599999999999994</v>
      </c>
      <c r="I270" s="142">
        <f t="shared" si="50"/>
        <v>1.1310116086235489</v>
      </c>
    </row>
    <row r="271" spans="1:9" ht="16.5" customHeight="1" x14ac:dyDescent="0.25">
      <c r="A271" s="122">
        <f t="shared" si="34"/>
        <v>264</v>
      </c>
      <c r="B271" s="15" t="str">
        <f>[1]Diesel_S500!$B271</f>
        <v>JUNHO|16</v>
      </c>
      <c r="C271" s="16">
        <f>[1]geral!K60</f>
        <v>3.0130000000000003</v>
      </c>
      <c r="D271" s="17">
        <f t="shared" ref="D271" si="51">100*C271/$C$8</f>
        <v>886.17647058823525</v>
      </c>
      <c r="E271" s="18">
        <f t="shared" ref="E271" si="52">100*((C271/C270)-1)</f>
        <v>-6.6334991708116853E-2</v>
      </c>
      <c r="F271" s="18">
        <f t="shared" si="49"/>
        <v>0.90421969189551366</v>
      </c>
      <c r="G271" s="19">
        <f t="shared" ref="G271" si="53">100*((C271/C259)-1)</f>
        <v>7.3387958674742126</v>
      </c>
      <c r="H271" s="20">
        <f t="shared" ref="H271" si="54">100*(C271/C247-1)</f>
        <v>20.520000000000003</v>
      </c>
      <c r="I271" s="142">
        <f t="shared" si="50"/>
        <v>1.1317623630932625</v>
      </c>
    </row>
    <row r="272" spans="1:9" ht="16.5" customHeight="1" x14ac:dyDescent="0.25">
      <c r="A272" s="122">
        <f t="shared" si="34"/>
        <v>265</v>
      </c>
      <c r="B272" s="15" t="str">
        <f>[1]Diesel_S500!$B272</f>
        <v>JULHO|16</v>
      </c>
      <c r="C272" s="16">
        <f>[1]geral!K61</f>
        <v>3.0100000000000002</v>
      </c>
      <c r="D272" s="17">
        <f t="shared" ref="D272" si="55">100*C272/$C$8</f>
        <v>885.29411764705878</v>
      </c>
      <c r="E272" s="18">
        <f t="shared" ref="E272" si="56">100*((C272/C271)-1)</f>
        <v>-9.9568536342520275E-2</v>
      </c>
      <c r="F272" s="18">
        <f t="shared" ref="F272" si="57">100*((C272/$C$265)-1)</f>
        <v>0.80375083724044671</v>
      </c>
      <c r="G272" s="19">
        <f t="shared" ref="G272" si="58">100*((C272/C260)-1)</f>
        <v>7.3083778966131829</v>
      </c>
      <c r="H272" s="20">
        <f t="shared" ref="H272" si="59">100*(C272/C248-1)</f>
        <v>20.448179271708678</v>
      </c>
      <c r="I272" s="142">
        <f t="shared" si="50"/>
        <v>1.132890365448505</v>
      </c>
    </row>
    <row r="273" spans="1:9" ht="16.5" customHeight="1" x14ac:dyDescent="0.25">
      <c r="A273" s="122">
        <f t="shared" si="34"/>
        <v>266</v>
      </c>
      <c r="B273" s="15" t="str">
        <f>[1]Diesel_S500!$B273</f>
        <v>AGOSTO|16</v>
      </c>
      <c r="C273" s="16">
        <f>[1]geral!K62</f>
        <v>3.0070000000000006</v>
      </c>
      <c r="D273" s="17">
        <f t="shared" ref="D273" si="60">100*C273/$C$8</f>
        <v>884.41176470588243</v>
      </c>
      <c r="E273" s="18">
        <f t="shared" ref="E273" si="61">100*((C273/C272)-1)</f>
        <v>-9.9667774086364957E-2</v>
      </c>
      <c r="F273" s="18">
        <f t="shared" ref="F273" si="62">100*((C273/$C$265)-1)</f>
        <v>0.70328198258540198</v>
      </c>
      <c r="G273" s="19">
        <f t="shared" ref="G273" si="63">100*((C273/C261)-1)</f>
        <v>7.4312254376563303</v>
      </c>
      <c r="H273" s="20">
        <f t="shared" ref="H273" si="64">100*(C273/C249-1)</f>
        <v>20.328131252501013</v>
      </c>
      <c r="I273" s="142">
        <f t="shared" si="50"/>
        <v>1.1340206185567008</v>
      </c>
    </row>
    <row r="274" spans="1:9" x14ac:dyDescent="0.25">
      <c r="A274" s="122">
        <f t="shared" si="34"/>
        <v>267</v>
      </c>
      <c r="B274" s="15" t="str">
        <f>[1]Diesel_S500!$B274</f>
        <v>SETEMBRO|16</v>
      </c>
      <c r="C274" s="16">
        <f>[1]geral!K63</f>
        <v>3.0059999999999998</v>
      </c>
      <c r="D274" s="17">
        <f t="shared" ref="D274" si="65">100*C274/$C$8</f>
        <v>884.11764705882342</v>
      </c>
      <c r="E274" s="18">
        <f t="shared" ref="E274" si="66">100*((C274/C273)-1)</f>
        <v>-3.3255736614590248E-2</v>
      </c>
      <c r="F274" s="18">
        <f t="shared" ref="F274" si="67">100*((C274/$C$265)-1)</f>
        <v>0.66979236436703893</v>
      </c>
      <c r="G274" s="19">
        <f t="shared" ref="G274" si="68">100*((C274/C262)-1)</f>
        <v>6.8610024884464993</v>
      </c>
      <c r="H274" s="20">
        <f t="shared" ref="H274" si="69">100*(C274/C250-1)</f>
        <v>20.191923230707708</v>
      </c>
      <c r="I274" s="142">
        <f t="shared" si="50"/>
        <v>1.1343978709248173</v>
      </c>
    </row>
    <row r="275" spans="1:9" x14ac:dyDescent="0.25">
      <c r="A275" s="122">
        <f t="shared" si="34"/>
        <v>268</v>
      </c>
      <c r="B275" s="15" t="str">
        <f>[1]Diesel_S500!$B275</f>
        <v>OUTUBRO|16</v>
      </c>
      <c r="C275" s="16">
        <f>[1]geral!K64</f>
        <v>3.0079999999999996</v>
      </c>
      <c r="D275" s="17">
        <f t="shared" ref="D275" si="70">100*C275/$C$8</f>
        <v>884.70588235294099</v>
      </c>
      <c r="E275" s="18">
        <f t="shared" ref="E275" si="71">100*((C275/C274)-1)</f>
        <v>6.6533599467732962E-2</v>
      </c>
      <c r="F275" s="18">
        <f t="shared" ref="F275" si="72">100*((C275/$C$265)-1)</f>
        <v>0.73677160080372062</v>
      </c>
      <c r="G275" s="19">
        <f t="shared" ref="G275" si="73">100*((C275/C263)-1)</f>
        <v>2.6621160409556088</v>
      </c>
      <c r="H275" s="20">
        <f t="shared" ref="H275" si="74">100*(C275/C251-1)</f>
        <v>20.319999999999983</v>
      </c>
      <c r="I275" s="142">
        <f t="shared" si="50"/>
        <v>1.1336436170212769</v>
      </c>
    </row>
    <row r="276" spans="1:9" x14ac:dyDescent="0.25">
      <c r="A276" s="122">
        <f t="shared" si="34"/>
        <v>269</v>
      </c>
      <c r="B276" s="15" t="str">
        <f>[1]Diesel_S500!$B276</f>
        <v>NOVEMBRO|16</v>
      </c>
      <c r="C276" s="16">
        <f>[1]geral!K65</f>
        <v>2.9839999999999995</v>
      </c>
      <c r="D276" s="17">
        <f t="shared" ref="D276" si="75">100*C276/$C$8</f>
        <v>877.64705882352928</v>
      </c>
      <c r="E276" s="18">
        <f t="shared" ref="E276" si="76">100*((C276/C275)-1)</f>
        <v>-0.79787234042553168</v>
      </c>
      <c r="F276" s="18">
        <f t="shared" ref="F276" si="77">100*((C276/$C$265)-1)</f>
        <v>-6.6979236436726097E-2</v>
      </c>
      <c r="G276" s="19">
        <f t="shared" ref="G276" si="78">100*((C276/C264)-1)</f>
        <v>0.23513604299629787</v>
      </c>
      <c r="H276" s="20">
        <f t="shared" ref="H276" si="79">100*(C276/C252-1)</f>
        <v>14.769230769230756</v>
      </c>
      <c r="I276" s="142">
        <f t="shared" si="50"/>
        <v>1.1427613941018768</v>
      </c>
    </row>
    <row r="277" spans="1:9" x14ac:dyDescent="0.25">
      <c r="A277" s="122">
        <f t="shared" si="34"/>
        <v>270</v>
      </c>
      <c r="B277" s="15" t="str">
        <f>[1]Diesel_S500!$B277</f>
        <v>DEZEMBRO|16</v>
      </c>
      <c r="C277" s="16">
        <f>[1]geral!K66</f>
        <v>3.0509999999999997</v>
      </c>
      <c r="D277" s="17">
        <f t="shared" ref="D277" si="80">100*C277/$C$8</f>
        <v>897.35294117647038</v>
      </c>
      <c r="E277" s="18">
        <f t="shared" ref="E277" si="81">100*((C277/C276)-1)</f>
        <v>2.2453083109919669</v>
      </c>
      <c r="F277" s="18">
        <f t="shared" ref="F277" si="82">100*((C277/$C$265)-1)</f>
        <v>2.1768251841928876</v>
      </c>
      <c r="G277" s="19">
        <f t="shared" ref="G277" si="83">100*((C277/C265)-1)</f>
        <v>2.1768251841928876</v>
      </c>
      <c r="H277" s="20">
        <f t="shared" ref="H277" si="84">100*(C277/C253-1)</f>
        <v>17.031070195627152</v>
      </c>
      <c r="I277" s="142">
        <f t="shared" si="50"/>
        <v>1.117666338905277</v>
      </c>
    </row>
    <row r="278" spans="1:9" x14ac:dyDescent="0.25">
      <c r="A278" s="122">
        <f t="shared" si="34"/>
        <v>271</v>
      </c>
      <c r="B278" s="15" t="str">
        <f>[1]Diesel_S500!$B278</f>
        <v>JANEIRO|17</v>
      </c>
      <c r="C278" s="16">
        <f>[1]geral!M55</f>
        <v>3.1209999999999996</v>
      </c>
      <c r="D278" s="17">
        <f t="shared" ref="D278" si="85">100*C278/$C$8</f>
        <v>917.94117647058806</v>
      </c>
      <c r="E278" s="18">
        <f t="shared" ref="E278" si="86">100*((C278/C277)-1)</f>
        <v>2.2943297279580444</v>
      </c>
      <c r="F278" s="18">
        <f>100*((C278/$C$277)-1)</f>
        <v>2.2943297279580444</v>
      </c>
      <c r="G278" s="19">
        <f t="shared" ref="G278" si="87">100*((C278/C266)-1)</f>
        <v>3.6877076411959919</v>
      </c>
      <c r="H278" s="20">
        <f t="shared" ref="H278" si="88">100*(C278/C254-1)</f>
        <v>19.441255262150769</v>
      </c>
      <c r="I278" s="142">
        <f t="shared" si="50"/>
        <v>1.0925985261134255</v>
      </c>
    </row>
    <row r="279" spans="1:9" x14ac:dyDescent="0.25">
      <c r="A279" s="122">
        <f t="shared" si="34"/>
        <v>272</v>
      </c>
      <c r="B279" s="15" t="str">
        <f>[1]Diesel_S500!$B279</f>
        <v>FEVEREIRO|17</v>
      </c>
      <c r="C279" s="16">
        <f>[1]geral!M56</f>
        <v>3.0970000000000004</v>
      </c>
      <c r="D279" s="17">
        <f t="shared" ref="D279" si="89">100*C279/$C$8</f>
        <v>910.88235294117658</v>
      </c>
      <c r="E279" s="18">
        <f t="shared" ref="E279" si="90">100*((C279/C278)-1)</f>
        <v>-0.76898429990385209</v>
      </c>
      <c r="F279" s="18">
        <f>100*((C279/$C$277)-1)</f>
        <v>1.5077023926581612</v>
      </c>
      <c r="G279" s="19">
        <f t="shared" ref="G279" si="91">100*((C279/C267)-1)</f>
        <v>2.5496688741722062</v>
      </c>
      <c r="H279" s="20">
        <f t="shared" ref="H279" si="92">100*(C279/C255-1)</f>
        <v>10.292022792022815</v>
      </c>
      <c r="I279" s="142">
        <f t="shared" si="50"/>
        <v>1.1010655473038424</v>
      </c>
    </row>
    <row r="280" spans="1:9" x14ac:dyDescent="0.25">
      <c r="A280" s="122">
        <f t="shared" si="34"/>
        <v>273</v>
      </c>
      <c r="B280" s="15" t="str">
        <f>[1]Diesel_S500!$B280</f>
        <v>MARÇO|17</v>
      </c>
      <c r="C280" s="16">
        <f>[1]geral!M57</f>
        <v>3.0419999999999994</v>
      </c>
      <c r="D280" s="17">
        <f t="shared" ref="D280:D281" si="93">100*C280/$C$8</f>
        <v>894.70588235294088</v>
      </c>
      <c r="E280" s="18">
        <f t="shared" ref="E280:E281" si="94">100*((C280/C279)-1)</f>
        <v>-1.7759121730707483</v>
      </c>
      <c r="F280" s="18">
        <f t="shared" ref="F280:F281" si="95">100*((C280/$C$277)-1)</f>
        <v>-0.29498525073747839</v>
      </c>
      <c r="G280" s="19">
        <f t="shared" ref="G280:G281" si="96">100*((C280/C268)-1)</f>
        <v>0.6951340615689805</v>
      </c>
      <c r="H280" s="20">
        <f t="shared" ref="H280:H281" si="97">100*(C280/C256-1)</f>
        <v>8.2562277580071175</v>
      </c>
      <c r="I280" s="142">
        <f t="shared" si="50"/>
        <v>1.1209730440499674</v>
      </c>
    </row>
    <row r="281" spans="1:9" x14ac:dyDescent="0.25">
      <c r="A281" s="122">
        <f t="shared" ref="A281:A293" si="98">1+A280</f>
        <v>274</v>
      </c>
      <c r="B281" s="15" t="str">
        <f>[1]Diesel_S500!$B281</f>
        <v>ABRIL|17</v>
      </c>
      <c r="C281" s="16">
        <f>[1]geral!M58</f>
        <v>3.012</v>
      </c>
      <c r="D281" s="17">
        <f t="shared" si="93"/>
        <v>885.88235294117635</v>
      </c>
      <c r="E281" s="18">
        <f t="shared" si="94"/>
        <v>-0.98619329388558441</v>
      </c>
      <c r="F281" s="18">
        <f t="shared" si="95"/>
        <v>-1.2782694198623323</v>
      </c>
      <c r="G281" s="19">
        <f t="shared" si="96"/>
        <v>-0.29791459781530749</v>
      </c>
      <c r="H281" s="20">
        <f t="shared" si="97"/>
        <v>7.226771092915607</v>
      </c>
      <c r="I281" s="142">
        <f t="shared" si="50"/>
        <v>1.1321381142098275</v>
      </c>
    </row>
    <row r="282" spans="1:9" x14ac:dyDescent="0.25">
      <c r="A282" s="122">
        <f t="shared" si="98"/>
        <v>275</v>
      </c>
      <c r="B282" s="15" t="str">
        <f>[1]Diesel_S500!$B282</f>
        <v>MAIO|17</v>
      </c>
      <c r="C282" s="16">
        <f>[1]geral!M59</f>
        <v>3.0190000000000006</v>
      </c>
      <c r="D282" s="17">
        <f t="shared" ref="D282:D283" si="99">100*C282/$C$8</f>
        <v>887.94117647058829</v>
      </c>
      <c r="E282" s="18">
        <f t="shared" ref="E282:E283" si="100">100*((C282/C281)-1)</f>
        <v>0.23240371845951735</v>
      </c>
      <c r="F282" s="18">
        <f t="shared" ref="F282:F283" si="101">100*((C282/$C$277)-1)</f>
        <v>-1.0488364470665035</v>
      </c>
      <c r="G282" s="19">
        <f t="shared" ref="G282:G283" si="102">100*((C282/C270)-1)</f>
        <v>0.13266998341625591</v>
      </c>
      <c r="H282" s="20">
        <f t="shared" ref="H282:H283" si="103">100*(C282/C258-1)</f>
        <v>7.552547203420068</v>
      </c>
      <c r="I282" s="142">
        <f t="shared" si="50"/>
        <v>1.1295130838025835</v>
      </c>
    </row>
    <row r="283" spans="1:9" x14ac:dyDescent="0.25">
      <c r="A283" s="122">
        <f t="shared" si="98"/>
        <v>276</v>
      </c>
      <c r="B283" s="15" t="str">
        <f>[1]Diesel_S500!$B283</f>
        <v>JUNHO|17</v>
      </c>
      <c r="C283" s="16">
        <f>[1]geral!M60</f>
        <v>2.9580000000000006</v>
      </c>
      <c r="D283" s="17">
        <f t="shared" si="99"/>
        <v>870.00000000000011</v>
      </c>
      <c r="E283" s="18">
        <f t="shared" si="100"/>
        <v>-2.0205366015236814</v>
      </c>
      <c r="F283" s="18">
        <f t="shared" si="101"/>
        <v>-3.0481809242870916</v>
      </c>
      <c r="G283" s="19">
        <f t="shared" si="102"/>
        <v>-1.8254231662794496</v>
      </c>
      <c r="H283" s="20">
        <f t="shared" si="103"/>
        <v>5.3794086213039272</v>
      </c>
      <c r="I283" s="142">
        <f t="shared" si="50"/>
        <v>1.1528059499661931</v>
      </c>
    </row>
    <row r="284" spans="1:9" x14ac:dyDescent="0.25">
      <c r="A284" s="122">
        <f t="shared" si="98"/>
        <v>277</v>
      </c>
      <c r="B284" s="15" t="str">
        <f>[1]Diesel_S500!$B284</f>
        <v>JULHO|17</v>
      </c>
      <c r="C284" s="16">
        <f>[1]geral!M61</f>
        <v>3.0560000000000005</v>
      </c>
      <c r="D284" s="17">
        <f t="shared" ref="D284" si="104">100*C284/$C$8</f>
        <v>898.82352941176475</v>
      </c>
      <c r="E284" s="18">
        <f t="shared" ref="E284" si="105">100*((C284/C283)-1)</f>
        <v>3.3130493576740916</v>
      </c>
      <c r="F284" s="18">
        <f t="shared" ref="F284" si="106">100*((C284/$C$277)-1)</f>
        <v>0.16388069485417933</v>
      </c>
      <c r="G284" s="19">
        <f t="shared" ref="G284" si="107">100*((C284/C272)-1)</f>
        <v>1.5282392026578107</v>
      </c>
      <c r="H284" s="20">
        <f t="shared" ref="H284" si="108">100*(C284/C260-1)</f>
        <v>8.9483065953654304</v>
      </c>
      <c r="I284" s="142">
        <f t="shared" si="50"/>
        <v>1.1158376963350785</v>
      </c>
    </row>
    <row r="285" spans="1:9" x14ac:dyDescent="0.25">
      <c r="A285" s="122">
        <f t="shared" si="98"/>
        <v>278</v>
      </c>
      <c r="B285" s="15" t="str">
        <f>[1]Diesel_S500!$B285</f>
        <v>AGOSTO|17</v>
      </c>
      <c r="C285" s="16">
        <f>[1]geral!M62</f>
        <v>3.1030000000000006</v>
      </c>
      <c r="D285" s="17">
        <f t="shared" ref="D285" si="109">100*C285/$C$8</f>
        <v>912.64705882352951</v>
      </c>
      <c r="E285" s="18">
        <f t="shared" ref="E285" si="110">100*((C285/C284)-1)</f>
        <v>1.5379581151832467</v>
      </c>
      <c r="F285" s="18">
        <f t="shared" ref="F285" si="111">100*((C285/$C$277)-1)</f>
        <v>1.7043592264831542</v>
      </c>
      <c r="G285" s="19">
        <f t="shared" ref="G285" si="112">100*((C285/C273)-1)</f>
        <v>3.1925507149983323</v>
      </c>
      <c r="H285" s="20">
        <f t="shared" ref="H285" si="113">100*(C285/C261-1)</f>
        <v>10.861021793497706</v>
      </c>
      <c r="I285" s="142">
        <f t="shared" si="50"/>
        <v>1.0989365130518851</v>
      </c>
    </row>
    <row r="286" spans="1:9" x14ac:dyDescent="0.25">
      <c r="A286" s="122">
        <f t="shared" si="98"/>
        <v>279</v>
      </c>
      <c r="B286" s="15" t="str">
        <f>[1]Diesel_S500!$B286</f>
        <v>SETEMBRO|17</v>
      </c>
      <c r="C286" s="16">
        <f>[1]geral!M63</f>
        <v>3.2010000000000001</v>
      </c>
      <c r="D286" s="17">
        <f t="shared" ref="D286" si="114">100*C286/$C$8</f>
        <v>941.47058823529414</v>
      </c>
      <c r="E286" s="18">
        <f t="shared" ref="E286" si="115">100*((C286/C285)-1)</f>
        <v>3.1582339671285764</v>
      </c>
      <c r="F286" s="18">
        <f t="shared" ref="F286" si="116">100*((C286/$C$277)-1)</f>
        <v>4.916420845624403</v>
      </c>
      <c r="G286" s="19">
        <f t="shared" ref="G286" si="117">100*((C286/C274)-1)</f>
        <v>6.4870259481037973</v>
      </c>
      <c r="H286" s="20">
        <f t="shared" ref="H286" si="118">100*(C286/C262-1)</f>
        <v>13.793103448275868</v>
      </c>
      <c r="I286" s="142">
        <f t="shared" si="50"/>
        <v>1.0652920962199313</v>
      </c>
    </row>
    <row r="287" spans="1:9" x14ac:dyDescent="0.25">
      <c r="A287" s="122">
        <f t="shared" si="98"/>
        <v>280</v>
      </c>
      <c r="B287" s="15" t="str">
        <f>[1]Diesel_S500!$B287</f>
        <v>OUTUBRO|17</v>
      </c>
      <c r="C287" s="16">
        <f>[1]geral!M64</f>
        <v>3.2139999999999995</v>
      </c>
      <c r="D287" s="17">
        <f t="shared" ref="D287" si="119">100*C287/$C$8</f>
        <v>945.29411764705867</v>
      </c>
      <c r="E287" s="18">
        <f t="shared" ref="E287" si="120">100*((C287/C286)-1)</f>
        <v>0.40612308653544815</v>
      </c>
      <c r="F287" s="18">
        <f t="shared" ref="F287" si="121">100*((C287/$C$277)-1)</f>
        <v>5.3425106522451582</v>
      </c>
      <c r="G287" s="19">
        <f t="shared" ref="G287" si="122">100*((C287/C275)-1)</f>
        <v>6.8484042553191404</v>
      </c>
      <c r="H287" s="20">
        <f t="shared" ref="H287" si="123">100*(C287/C263-1)</f>
        <v>9.6928327645050985</v>
      </c>
      <c r="I287" s="142">
        <f t="shared" si="50"/>
        <v>1.0609831985065341</v>
      </c>
    </row>
    <row r="288" spans="1:9" x14ac:dyDescent="0.25">
      <c r="A288" s="122">
        <f t="shared" si="98"/>
        <v>281</v>
      </c>
      <c r="B288" s="15" t="str">
        <f>[1]Diesel_S500!$B288</f>
        <v>NOVEMBRO|17</v>
      </c>
      <c r="C288" s="16">
        <f>[1]geral!M65</f>
        <v>3.3030000000000004</v>
      </c>
      <c r="D288" s="17">
        <f t="shared" ref="D288" si="124">100*C288/$C$8</f>
        <v>971.47058823529403</v>
      </c>
      <c r="E288" s="18">
        <f t="shared" ref="E288" si="125">100*((C288/C287)-1)</f>
        <v>2.7691350342252896</v>
      </c>
      <c r="F288" s="18">
        <f t="shared" ref="F288" si="126">100*((C288/$C$277)-1)</f>
        <v>8.2595870206489952</v>
      </c>
      <c r="G288" s="19">
        <f t="shared" ref="G288" si="127">100*((C288/C276)-1)</f>
        <v>10.690348525469195</v>
      </c>
      <c r="H288" s="20">
        <f t="shared" ref="H288" si="128">100*(C288/C264-1)</f>
        <v>10.950621430970786</v>
      </c>
      <c r="I288" s="142">
        <f t="shared" si="50"/>
        <v>1.0323947926127761</v>
      </c>
    </row>
    <row r="289" spans="1:9" x14ac:dyDescent="0.25">
      <c r="A289" s="122">
        <f t="shared" si="98"/>
        <v>282</v>
      </c>
      <c r="B289" s="15" t="str">
        <f>[1]Diesel_S500!$B289</f>
        <v>DEZEMBRO|17</v>
      </c>
      <c r="C289" s="16">
        <f>[1]geral!M66</f>
        <v>3.3260000000000001</v>
      </c>
      <c r="D289" s="17">
        <f t="shared" ref="D289" si="129">100*C289/$C$8</f>
        <v>978.23529411764707</v>
      </c>
      <c r="E289" s="18">
        <f t="shared" ref="E289" si="130">100*((C289/C288)-1)</f>
        <v>0.69633666363910773</v>
      </c>
      <c r="F289" s="18">
        <f t="shared" ref="F289" si="131">100*((C289/$C$277)-1)</f>
        <v>9.0134382169780416</v>
      </c>
      <c r="G289" s="19">
        <f t="shared" ref="G289" si="132">100*((C289/C277)-1)</f>
        <v>9.0134382169780416</v>
      </c>
      <c r="H289" s="20">
        <f t="shared" ref="H289" si="133">100*(C289/C265-1)</f>
        <v>11.386470194239774</v>
      </c>
      <c r="I289" s="142">
        <f t="shared" si="50"/>
        <v>1.0252555622369213</v>
      </c>
    </row>
    <row r="290" spans="1:9" x14ac:dyDescent="0.25">
      <c r="A290" s="122">
        <f t="shared" si="98"/>
        <v>283</v>
      </c>
      <c r="B290" s="15" t="str">
        <f>[1]Diesel_S500!$B290</f>
        <v>JANEIRO|18</v>
      </c>
      <c r="C290" s="16">
        <f>[1]geral!O55</f>
        <v>3.3809999999999998</v>
      </c>
      <c r="D290" s="17">
        <f t="shared" ref="D290" si="134">100*C290/$C$8</f>
        <v>994.41176470588221</v>
      </c>
      <c r="E290" s="18">
        <f t="shared" ref="E290" si="135">100*((C290/C289)-1)</f>
        <v>1.6536380036079379</v>
      </c>
      <c r="F290" s="18">
        <f t="shared" ref="F290" si="136">100*((C290/$C$277)-1)</f>
        <v>10.81612586037366</v>
      </c>
      <c r="G290" s="19">
        <f t="shared" ref="G290" si="137">100*((C290/C278)-1)</f>
        <v>8.3306632489586807</v>
      </c>
      <c r="H290" s="20">
        <f t="shared" ref="H290" si="138">100*(C290/C266-1)</f>
        <v>12.325581395348827</v>
      </c>
      <c r="I290" s="142">
        <f t="shared" si="50"/>
        <v>1.0085773439810708</v>
      </c>
    </row>
    <row r="291" spans="1:9" x14ac:dyDescent="0.25">
      <c r="A291" s="122">
        <f t="shared" si="98"/>
        <v>284</v>
      </c>
      <c r="B291" s="15" t="str">
        <f>[1]Diesel_S500!$B291</f>
        <v>FEVEREIRO|18</v>
      </c>
      <c r="C291" s="16">
        <f>[1]geral!O56</f>
        <v>3.3829999999999996</v>
      </c>
      <c r="D291" s="17">
        <f t="shared" ref="D291:D292" si="139">100*C291/$C$8</f>
        <v>994.99999999999977</v>
      </c>
      <c r="E291" s="18">
        <f t="shared" ref="E291:E292" si="140">100*((C291/C290)-1)</f>
        <v>5.9154096421165647E-2</v>
      </c>
      <c r="F291" s="18">
        <f t="shared" ref="F291:F292" si="141">100*((C291/$C$277)-1)</f>
        <v>10.881678138315309</v>
      </c>
      <c r="G291" s="19">
        <f t="shared" ref="G291:G292" si="142">100*((C291/C279)-1)</f>
        <v>9.2347432999676737</v>
      </c>
      <c r="H291" s="20">
        <f t="shared" ref="H291:H292" si="143">100*(C291/C267-1)</f>
        <v>12.019867549668861</v>
      </c>
      <c r="I291" s="142">
        <f t="shared" si="50"/>
        <v>1.0079810818799884</v>
      </c>
    </row>
    <row r="292" spans="1:9" x14ac:dyDescent="0.25">
      <c r="A292" s="122">
        <f t="shared" si="98"/>
        <v>285</v>
      </c>
      <c r="B292" s="179" t="str">
        <f>[1]Diesel_S500!$B292</f>
        <v>MARÇO|18</v>
      </c>
      <c r="C292" s="180">
        <f>[1]geral!O57</f>
        <v>3.3909999999999991</v>
      </c>
      <c r="D292" s="22">
        <f t="shared" si="139"/>
        <v>997.35294117647027</v>
      </c>
      <c r="E292" s="23">
        <f t="shared" si="140"/>
        <v>0.23647650014777533</v>
      </c>
      <c r="F292" s="23">
        <f t="shared" si="141"/>
        <v>11.14388725008193</v>
      </c>
      <c r="G292" s="181">
        <f t="shared" si="142"/>
        <v>11.472715318869152</v>
      </c>
      <c r="H292" s="24">
        <f t="shared" si="143"/>
        <v>12.247600132406443</v>
      </c>
      <c r="I292" s="182">
        <f t="shared" si="50"/>
        <v>1.0056030669419054</v>
      </c>
    </row>
    <row r="293" spans="1:9" ht="16.5" thickBot="1" x14ac:dyDescent="0.3">
      <c r="A293" s="122">
        <f t="shared" si="98"/>
        <v>286</v>
      </c>
      <c r="B293" s="144" t="s">
        <v>309</v>
      </c>
      <c r="C293" s="145">
        <v>3.41</v>
      </c>
      <c r="D293" s="134">
        <f t="shared" ref="D293" si="144">100*C293/$C$8</f>
        <v>1002.9411764705882</v>
      </c>
      <c r="E293" s="135">
        <f t="shared" ref="E293" si="145">100*((C293/C292)-1)</f>
        <v>0.56030669419053769</v>
      </c>
      <c r="F293" s="135">
        <f t="shared" ref="F293" si="146">100*((C293/$C$277)-1)</f>
        <v>11.7666338905277</v>
      </c>
      <c r="G293" s="146">
        <f t="shared" ref="G293" si="147">100*((C293/C281)-1)</f>
        <v>13.213811420982747</v>
      </c>
      <c r="H293" s="137">
        <f t="shared" ref="H293" si="148">100*(C293/C269-1)</f>
        <v>12.876530950016551</v>
      </c>
      <c r="I293" s="147">
        <f t="shared" si="50"/>
        <v>1</v>
      </c>
    </row>
    <row r="294" spans="1:9" ht="15" customHeight="1" x14ac:dyDescent="0.25">
      <c r="B294" s="25" t="s">
        <v>311</v>
      </c>
      <c r="C294" s="26"/>
      <c r="D294" s="26"/>
      <c r="E294" s="26"/>
      <c r="F294" s="26"/>
      <c r="G294" s="26"/>
      <c r="H294" s="26"/>
      <c r="I294" s="26"/>
    </row>
    <row r="295" spans="1:9" ht="15" customHeight="1" x14ac:dyDescent="0.25">
      <c r="B295" s="25" t="s">
        <v>310</v>
      </c>
      <c r="C295" s="26"/>
      <c r="D295" s="26"/>
      <c r="E295" s="26"/>
      <c r="F295" s="26"/>
      <c r="G295" s="26"/>
      <c r="H295" s="26"/>
      <c r="I295" s="26"/>
    </row>
    <row r="296" spans="1:9" ht="15" customHeight="1" x14ac:dyDescent="0.25">
      <c r="C296" s="26"/>
      <c r="D296" s="26"/>
      <c r="E296" s="26"/>
      <c r="F296" s="26"/>
      <c r="G296" s="26"/>
      <c r="H296" s="26"/>
      <c r="I296" s="26"/>
    </row>
    <row r="297" spans="1:9" ht="15" customHeight="1" x14ac:dyDescent="0.25">
      <c r="C297" s="26"/>
      <c r="D297" s="26"/>
      <c r="E297" s="26"/>
      <c r="F297" s="26"/>
      <c r="G297" s="26"/>
      <c r="H297" s="26"/>
      <c r="I297" s="26"/>
    </row>
    <row r="298" spans="1:9" ht="15" customHeight="1" x14ac:dyDescent="0.25">
      <c r="C298" s="26"/>
      <c r="D298" s="26"/>
      <c r="E298" s="26"/>
      <c r="F298" s="26"/>
      <c r="G298" s="26"/>
      <c r="H298" s="26"/>
      <c r="I298" s="26"/>
    </row>
    <row r="299" spans="1:9" ht="15" customHeight="1" x14ac:dyDescent="0.25">
      <c r="C299" s="26"/>
      <c r="D299" s="26"/>
      <c r="E299" s="26"/>
      <c r="F299" s="26"/>
      <c r="G299" s="26"/>
      <c r="H299" s="26"/>
      <c r="I299" s="26"/>
    </row>
    <row r="300" spans="1:9" ht="15" customHeight="1" x14ac:dyDescent="0.25">
      <c r="C300" s="26"/>
      <c r="D300" s="26"/>
      <c r="E300" s="26"/>
      <c r="F300" s="26"/>
      <c r="G300" s="26"/>
      <c r="H300" s="26"/>
      <c r="I300" s="26"/>
    </row>
    <row r="301" spans="1:9" ht="15" customHeight="1" x14ac:dyDescent="0.25">
      <c r="C301" s="26"/>
      <c r="D301" s="26"/>
      <c r="E301" s="26"/>
      <c r="F301" s="26"/>
      <c r="G301" s="26"/>
      <c r="H301" s="26"/>
      <c r="I301" s="26"/>
    </row>
    <row r="302" spans="1:9" ht="15" customHeight="1" x14ac:dyDescent="0.25">
      <c r="C302" s="26"/>
      <c r="D302" s="26"/>
      <c r="E302" s="26"/>
      <c r="F302" s="26"/>
      <c r="G302" s="26"/>
      <c r="H302" s="26"/>
      <c r="I302" s="26"/>
    </row>
    <row r="303" spans="1:9" ht="15" customHeight="1" x14ac:dyDescent="0.25">
      <c r="C303" s="26"/>
      <c r="D303" s="26"/>
      <c r="E303" s="26"/>
      <c r="F303" s="26"/>
      <c r="G303" s="26"/>
      <c r="H303" s="26"/>
      <c r="I303" s="26"/>
    </row>
    <row r="304" spans="1:9" ht="15" customHeight="1" x14ac:dyDescent="0.25">
      <c r="C304" s="26"/>
      <c r="D304" s="26"/>
      <c r="E304" s="26"/>
      <c r="F304" s="26"/>
      <c r="G304" s="26"/>
      <c r="H304" s="26"/>
      <c r="I304" s="26"/>
    </row>
    <row r="305" spans="3:9" ht="15" customHeight="1" x14ac:dyDescent="0.25">
      <c r="C305" s="26"/>
      <c r="D305" s="26"/>
      <c r="E305" s="26"/>
      <c r="F305" s="26"/>
      <c r="G305" s="26"/>
      <c r="H305" s="26"/>
      <c r="I305" s="26"/>
    </row>
    <row r="306" spans="3:9" ht="15" customHeight="1" x14ac:dyDescent="0.25">
      <c r="C306" s="26"/>
      <c r="D306" s="26"/>
      <c r="E306" s="26"/>
      <c r="F306" s="26"/>
      <c r="G306" s="26"/>
      <c r="H306" s="26"/>
      <c r="I306" s="26"/>
    </row>
    <row r="307" spans="3:9" ht="15" customHeight="1" x14ac:dyDescent="0.25">
      <c r="C307" s="26"/>
      <c r="D307" s="26"/>
      <c r="E307" s="26"/>
      <c r="F307" s="26"/>
      <c r="G307" s="26"/>
      <c r="H307" s="26"/>
      <c r="I307" s="26"/>
    </row>
    <row r="308" spans="3:9" ht="15" customHeight="1" x14ac:dyDescent="0.25">
      <c r="C308" s="26"/>
      <c r="D308" s="26"/>
      <c r="E308" s="26"/>
      <c r="F308" s="26"/>
      <c r="G308" s="26"/>
      <c r="H308" s="26"/>
      <c r="I308" s="26"/>
    </row>
    <row r="309" spans="3:9" ht="15" customHeight="1" x14ac:dyDescent="0.25">
      <c r="C309" s="26"/>
      <c r="D309" s="26"/>
      <c r="E309" s="26"/>
      <c r="F309" s="26"/>
      <c r="G309" s="26"/>
      <c r="H309" s="26"/>
      <c r="I309" s="26"/>
    </row>
    <row r="310" spans="3:9" ht="15" customHeight="1" x14ac:dyDescent="0.25">
      <c r="C310" s="26"/>
      <c r="D310" s="26"/>
      <c r="E310" s="26"/>
      <c r="F310" s="26"/>
      <c r="G310" s="26"/>
      <c r="H310" s="26"/>
      <c r="I310" s="26"/>
    </row>
    <row r="311" spans="3:9" ht="15" customHeight="1" x14ac:dyDescent="0.25">
      <c r="C311" s="26"/>
      <c r="D311" s="26"/>
      <c r="E311" s="26"/>
      <c r="F311" s="26"/>
      <c r="G311" s="26"/>
      <c r="H311" s="26"/>
      <c r="I311" s="26"/>
    </row>
    <row r="312" spans="3:9" ht="15" customHeight="1" x14ac:dyDescent="0.25">
      <c r="C312" s="26"/>
      <c r="D312" s="26"/>
      <c r="E312" s="26"/>
      <c r="F312" s="26"/>
      <c r="G312" s="26"/>
      <c r="H312" s="26"/>
      <c r="I312" s="26"/>
    </row>
    <row r="313" spans="3:9" ht="15" customHeight="1" x14ac:dyDescent="0.25">
      <c r="C313" s="26"/>
      <c r="D313" s="26"/>
      <c r="E313" s="26"/>
      <c r="F313" s="26"/>
      <c r="G313" s="26"/>
      <c r="H313" s="26"/>
      <c r="I313" s="26"/>
    </row>
    <row r="314" spans="3:9" ht="15" customHeight="1" x14ac:dyDescent="0.25">
      <c r="C314" s="26"/>
      <c r="D314" s="26"/>
      <c r="E314" s="26"/>
      <c r="F314" s="26"/>
      <c r="G314" s="26"/>
      <c r="H314" s="26"/>
      <c r="I314" s="26"/>
    </row>
    <row r="315" spans="3:9" ht="15" customHeight="1" x14ac:dyDescent="0.25">
      <c r="C315" s="26"/>
      <c r="D315" s="26"/>
      <c r="E315" s="26"/>
      <c r="F315" s="26"/>
      <c r="G315" s="26"/>
      <c r="H315" s="26"/>
      <c r="I315" s="26"/>
    </row>
    <row r="316" spans="3:9" ht="15" customHeight="1" x14ac:dyDescent="0.25">
      <c r="C316" s="26"/>
      <c r="D316" s="26"/>
      <c r="E316" s="26"/>
      <c r="F316" s="26"/>
      <c r="G316" s="26"/>
      <c r="H316" s="26"/>
      <c r="I316" s="26"/>
    </row>
    <row r="317" spans="3:9" ht="15" customHeight="1" x14ac:dyDescent="0.25">
      <c r="C317" s="26"/>
      <c r="D317" s="26"/>
      <c r="E317" s="26"/>
      <c r="F317" s="26"/>
      <c r="G317" s="26"/>
      <c r="H317" s="26"/>
      <c r="I317" s="26"/>
    </row>
    <row r="318" spans="3:9" ht="15" customHeight="1" x14ac:dyDescent="0.25">
      <c r="C318" s="26"/>
      <c r="D318" s="26"/>
      <c r="E318" s="26"/>
      <c r="F318" s="26"/>
      <c r="G318" s="26"/>
      <c r="H318" s="26"/>
      <c r="I318" s="26"/>
    </row>
    <row r="319" spans="3:9" ht="15" customHeight="1" x14ac:dyDescent="0.25">
      <c r="C319" s="26"/>
      <c r="D319" s="26"/>
      <c r="E319" s="26"/>
      <c r="F319" s="26"/>
      <c r="G319" s="26"/>
      <c r="H319" s="26"/>
      <c r="I319" s="26"/>
    </row>
    <row r="320" spans="3:9" ht="15" customHeight="1" x14ac:dyDescent="0.25">
      <c r="C320" s="26"/>
      <c r="D320" s="26"/>
      <c r="E320" s="26"/>
      <c r="F320" s="26"/>
      <c r="G320" s="26"/>
      <c r="H320" s="26"/>
      <c r="I320" s="26"/>
    </row>
    <row r="321" spans="3:9" ht="15" customHeight="1" x14ac:dyDescent="0.25">
      <c r="C321" s="26"/>
      <c r="D321" s="26"/>
      <c r="E321" s="26"/>
      <c r="F321" s="26"/>
      <c r="G321" s="26"/>
      <c r="H321" s="26"/>
      <c r="I321" s="26"/>
    </row>
    <row r="322" spans="3:9" ht="15" customHeight="1" x14ac:dyDescent="0.25">
      <c r="C322" s="26"/>
      <c r="D322" s="26"/>
      <c r="E322" s="26"/>
      <c r="F322" s="26"/>
      <c r="G322" s="26"/>
      <c r="H322" s="26"/>
      <c r="I322" s="26"/>
    </row>
    <row r="323" spans="3:9" ht="15" customHeight="1" x14ac:dyDescent="0.25">
      <c r="C323" s="26"/>
      <c r="D323" s="26"/>
      <c r="E323" s="26"/>
      <c r="F323" s="26"/>
      <c r="G323" s="26"/>
      <c r="H323" s="26"/>
      <c r="I323" s="26"/>
    </row>
    <row r="324" spans="3:9" ht="15" customHeight="1" x14ac:dyDescent="0.25">
      <c r="C324" s="26"/>
      <c r="D324" s="26"/>
      <c r="E324" s="26"/>
      <c r="F324" s="26"/>
      <c r="G324" s="26"/>
      <c r="H324" s="26"/>
      <c r="I324" s="26"/>
    </row>
    <row r="325" spans="3:9" ht="15" customHeight="1" x14ac:dyDescent="0.25">
      <c r="C325" s="26"/>
      <c r="D325" s="26"/>
      <c r="E325" s="26"/>
      <c r="F325" s="26"/>
      <c r="G325" s="26"/>
      <c r="H325" s="26"/>
      <c r="I325" s="26"/>
    </row>
    <row r="326" spans="3:9" ht="15" customHeight="1" x14ac:dyDescent="0.25">
      <c r="C326" s="26"/>
      <c r="D326" s="26"/>
      <c r="E326" s="26"/>
      <c r="F326" s="26"/>
      <c r="G326" s="26"/>
      <c r="H326" s="26"/>
      <c r="I326" s="26"/>
    </row>
    <row r="327" spans="3:9" ht="15" customHeight="1" x14ac:dyDescent="0.25">
      <c r="C327" s="26"/>
      <c r="D327" s="26"/>
      <c r="E327" s="26"/>
      <c r="F327" s="26"/>
      <c r="G327" s="26"/>
      <c r="H327" s="26"/>
      <c r="I327" s="26"/>
    </row>
    <row r="328" spans="3:9" ht="15" customHeight="1" x14ac:dyDescent="0.25">
      <c r="C328" s="26"/>
      <c r="D328" s="26"/>
      <c r="E328" s="26"/>
      <c r="F328" s="26"/>
      <c r="G328" s="26"/>
      <c r="H328" s="26"/>
      <c r="I328" s="26"/>
    </row>
    <row r="329" spans="3:9" ht="15" customHeight="1" x14ac:dyDescent="0.25">
      <c r="C329" s="26"/>
      <c r="D329" s="26"/>
      <c r="E329" s="26"/>
      <c r="F329" s="26"/>
      <c r="G329" s="26"/>
      <c r="H329" s="26"/>
      <c r="I329" s="26"/>
    </row>
    <row r="330" spans="3:9" ht="15" customHeight="1" x14ac:dyDescent="0.25">
      <c r="C330" s="26"/>
      <c r="D330" s="26"/>
      <c r="E330" s="26"/>
      <c r="F330" s="26"/>
      <c r="G330" s="26"/>
      <c r="H330" s="26"/>
      <c r="I330" s="26"/>
    </row>
    <row r="331" spans="3:9" ht="15" customHeight="1" x14ac:dyDescent="0.25">
      <c r="C331" s="26"/>
      <c r="D331" s="26"/>
      <c r="E331" s="26"/>
      <c r="F331" s="26"/>
      <c r="G331" s="26"/>
      <c r="H331" s="26"/>
      <c r="I331" s="26"/>
    </row>
    <row r="332" spans="3:9" ht="15" customHeight="1" x14ac:dyDescent="0.25">
      <c r="C332" s="26"/>
      <c r="D332" s="26"/>
      <c r="E332" s="26"/>
      <c r="F332" s="26"/>
      <c r="G332" s="26"/>
      <c r="H332" s="26"/>
      <c r="I332" s="26"/>
    </row>
    <row r="333" spans="3:9" ht="15" customHeight="1" x14ac:dyDescent="0.25">
      <c r="C333" s="26"/>
      <c r="D333" s="26"/>
      <c r="E333" s="26"/>
      <c r="F333" s="26"/>
      <c r="G333" s="26"/>
      <c r="H333" s="26"/>
      <c r="I333" s="26"/>
    </row>
    <row r="334" spans="3:9" ht="15" customHeight="1" x14ac:dyDescent="0.25">
      <c r="C334" s="26"/>
      <c r="D334" s="26"/>
      <c r="E334" s="26"/>
      <c r="F334" s="26"/>
      <c r="G334" s="26"/>
      <c r="H334" s="26"/>
      <c r="I334" s="26"/>
    </row>
    <row r="335" spans="3:9" ht="15" customHeight="1" x14ac:dyDescent="0.25">
      <c r="C335" s="26"/>
      <c r="D335" s="26"/>
      <c r="E335" s="26"/>
      <c r="F335" s="26"/>
      <c r="G335" s="26"/>
      <c r="H335" s="26"/>
      <c r="I335" s="26"/>
    </row>
    <row r="336" spans="3:9" ht="15" customHeight="1" x14ac:dyDescent="0.25">
      <c r="C336" s="26"/>
      <c r="D336" s="26"/>
      <c r="E336" s="26"/>
      <c r="F336" s="26"/>
      <c r="G336" s="26"/>
      <c r="H336" s="26"/>
      <c r="I336" s="26"/>
    </row>
    <row r="337" spans="3:9" ht="15" customHeight="1" x14ac:dyDescent="0.25">
      <c r="C337" s="26"/>
      <c r="D337" s="26"/>
      <c r="E337" s="26"/>
      <c r="F337" s="26"/>
      <c r="G337" s="26"/>
      <c r="H337" s="26"/>
      <c r="I337" s="26"/>
    </row>
    <row r="338" spans="3:9" ht="15" customHeight="1" x14ac:dyDescent="0.25">
      <c r="C338" s="26"/>
      <c r="D338" s="26"/>
      <c r="E338" s="26"/>
      <c r="F338" s="26"/>
      <c r="G338" s="26"/>
      <c r="H338" s="26"/>
      <c r="I338" s="26"/>
    </row>
    <row r="339" spans="3:9" ht="15" customHeight="1" x14ac:dyDescent="0.25">
      <c r="C339" s="26"/>
      <c r="D339" s="26"/>
      <c r="E339" s="26"/>
      <c r="F339" s="26"/>
      <c r="G339" s="26"/>
      <c r="H339" s="26"/>
      <c r="I339" s="26"/>
    </row>
    <row r="340" spans="3:9" ht="15" customHeight="1" x14ac:dyDescent="0.25">
      <c r="C340" s="26"/>
      <c r="D340" s="26"/>
      <c r="E340" s="26"/>
      <c r="F340" s="26"/>
      <c r="G340" s="26"/>
      <c r="H340" s="26"/>
      <c r="I340" s="26"/>
    </row>
    <row r="341" spans="3:9" ht="15" customHeight="1" x14ac:dyDescent="0.25">
      <c r="C341" s="26"/>
      <c r="D341" s="26"/>
      <c r="E341" s="26"/>
      <c r="F341" s="26"/>
      <c r="G341" s="26"/>
      <c r="H341" s="26"/>
      <c r="I341" s="26"/>
    </row>
    <row r="342" spans="3:9" ht="15" customHeight="1" x14ac:dyDescent="0.25">
      <c r="C342" s="26"/>
      <c r="D342" s="26"/>
      <c r="E342" s="26"/>
      <c r="F342" s="26"/>
      <c r="G342" s="26"/>
      <c r="H342" s="26"/>
      <c r="I342" s="26"/>
    </row>
    <row r="343" spans="3:9" ht="15" customHeight="1" x14ac:dyDescent="0.25">
      <c r="C343" s="26"/>
      <c r="D343" s="26"/>
      <c r="E343" s="26"/>
      <c r="F343" s="26"/>
      <c r="G343" s="26"/>
      <c r="H343" s="26"/>
      <c r="I343" s="26"/>
    </row>
    <row r="344" spans="3:9" ht="15" customHeight="1" x14ac:dyDescent="0.25">
      <c r="C344" s="26"/>
      <c r="D344" s="26"/>
      <c r="E344" s="26"/>
      <c r="F344" s="26"/>
      <c r="G344" s="26"/>
      <c r="H344" s="26"/>
      <c r="I344" s="26"/>
    </row>
    <row r="345" spans="3:9" ht="15" customHeight="1" x14ac:dyDescent="0.25">
      <c r="C345" s="26"/>
      <c r="D345" s="26"/>
      <c r="E345" s="26"/>
      <c r="F345" s="26"/>
      <c r="G345" s="26"/>
      <c r="H345" s="26"/>
      <c r="I345" s="26"/>
    </row>
    <row r="346" spans="3:9" ht="15" customHeight="1" x14ac:dyDescent="0.25">
      <c r="C346" s="26"/>
      <c r="D346" s="26"/>
      <c r="E346" s="26"/>
      <c r="F346" s="26"/>
      <c r="G346" s="26"/>
      <c r="H346" s="26"/>
      <c r="I346" s="26"/>
    </row>
    <row r="347" spans="3:9" ht="15" customHeight="1" x14ac:dyDescent="0.25">
      <c r="C347" s="26"/>
      <c r="D347" s="26"/>
      <c r="E347" s="26"/>
      <c r="F347" s="26"/>
      <c r="G347" s="26"/>
      <c r="H347" s="26"/>
      <c r="I347" s="26"/>
    </row>
    <row r="348" spans="3:9" ht="15" customHeight="1" x14ac:dyDescent="0.25">
      <c r="C348" s="26"/>
      <c r="D348" s="26"/>
      <c r="E348" s="26"/>
      <c r="F348" s="26"/>
      <c r="G348" s="26"/>
      <c r="H348" s="26"/>
      <c r="I348" s="26"/>
    </row>
    <row r="349" spans="3:9" ht="15" customHeight="1" x14ac:dyDescent="0.25">
      <c r="C349" s="26"/>
      <c r="D349" s="26"/>
      <c r="E349" s="26"/>
      <c r="F349" s="26"/>
      <c r="G349" s="26"/>
      <c r="H349" s="26"/>
      <c r="I349" s="26"/>
    </row>
    <row r="350" spans="3:9" ht="15" customHeight="1" x14ac:dyDescent="0.25">
      <c r="C350" s="26"/>
      <c r="D350" s="26"/>
      <c r="E350" s="26"/>
      <c r="F350" s="26"/>
      <c r="G350" s="26"/>
      <c r="H350" s="26"/>
      <c r="I350" s="26"/>
    </row>
    <row r="351" spans="3:9" ht="15" customHeight="1" x14ac:dyDescent="0.25">
      <c r="C351" s="26"/>
      <c r="D351" s="26"/>
      <c r="E351" s="26"/>
      <c r="F351" s="26"/>
      <c r="G351" s="26"/>
      <c r="H351" s="26"/>
      <c r="I351" s="26"/>
    </row>
    <row r="352" spans="3:9" ht="15" customHeight="1" x14ac:dyDescent="0.25">
      <c r="C352" s="26"/>
      <c r="D352" s="26"/>
      <c r="E352" s="26"/>
      <c r="F352" s="26"/>
      <c r="G352" s="26"/>
      <c r="H352" s="26"/>
      <c r="I352" s="26"/>
    </row>
    <row r="353" spans="3:12" ht="15" customHeight="1" x14ac:dyDescent="0.25">
      <c r="C353" s="26"/>
      <c r="D353" s="26"/>
      <c r="E353" s="26"/>
      <c r="F353" s="26"/>
      <c r="G353" s="26"/>
      <c r="H353" s="26"/>
      <c r="I353" s="26"/>
    </row>
    <row r="354" spans="3:12" ht="15" customHeight="1" x14ac:dyDescent="0.25">
      <c r="C354" s="26"/>
      <c r="D354" s="26"/>
      <c r="E354" s="26"/>
      <c r="F354" s="26"/>
      <c r="G354" s="26"/>
      <c r="H354" s="26"/>
      <c r="I354" s="26"/>
    </row>
    <row r="355" spans="3:12" ht="15" customHeight="1" x14ac:dyDescent="0.25">
      <c r="C355" s="26"/>
      <c r="D355" s="26"/>
      <c r="E355" s="26"/>
      <c r="F355" s="26"/>
      <c r="G355" s="26"/>
      <c r="H355" s="26"/>
      <c r="I355" s="26"/>
    </row>
    <row r="356" spans="3:12" ht="15" customHeight="1" x14ac:dyDescent="0.25">
      <c r="C356" s="26"/>
      <c r="D356" s="26"/>
      <c r="E356" s="26"/>
      <c r="F356" s="26"/>
      <c r="G356" s="26"/>
      <c r="H356" s="26"/>
      <c r="I356" s="26"/>
      <c r="L356" s="27"/>
    </row>
    <row r="357" spans="3:12" ht="15" customHeight="1" x14ac:dyDescent="0.25">
      <c r="C357" s="26"/>
      <c r="D357" s="26"/>
      <c r="E357" s="26"/>
      <c r="F357" s="26"/>
      <c r="G357" s="26"/>
      <c r="H357" s="26"/>
      <c r="I357" s="26"/>
    </row>
    <row r="358" spans="3:12" ht="15" customHeight="1" x14ac:dyDescent="0.25">
      <c r="C358" s="26"/>
      <c r="D358" s="26"/>
      <c r="E358" s="26"/>
      <c r="F358" s="26"/>
      <c r="G358" s="26"/>
      <c r="H358" s="26"/>
      <c r="I358" s="26"/>
    </row>
    <row r="359" spans="3:12" ht="15" customHeight="1" x14ac:dyDescent="0.25">
      <c r="C359" s="26"/>
      <c r="D359" s="26"/>
      <c r="E359" s="26"/>
      <c r="F359" s="26"/>
      <c r="G359" s="26"/>
      <c r="H359" s="26"/>
      <c r="I359" s="26"/>
    </row>
    <row r="360" spans="3:12" ht="15" customHeight="1" x14ac:dyDescent="0.25">
      <c r="C360" s="26"/>
      <c r="D360" s="26"/>
      <c r="E360" s="26"/>
      <c r="F360" s="26"/>
      <c r="G360" s="26"/>
      <c r="H360" s="26"/>
      <c r="I360" s="26"/>
    </row>
    <row r="361" spans="3:12" ht="15" customHeight="1" x14ac:dyDescent="0.25">
      <c r="C361" s="26"/>
      <c r="D361" s="26"/>
      <c r="E361" s="26"/>
      <c r="F361" s="26"/>
      <c r="G361" s="26"/>
      <c r="H361" s="26"/>
      <c r="I361" s="26"/>
    </row>
    <row r="362" spans="3:12" ht="15" customHeight="1" x14ac:dyDescent="0.25">
      <c r="C362" s="26"/>
      <c r="D362" s="26"/>
      <c r="E362" s="26"/>
      <c r="F362" s="26"/>
      <c r="G362" s="26"/>
      <c r="H362" s="26"/>
      <c r="I362" s="26"/>
    </row>
    <row r="363" spans="3:12" ht="15" customHeight="1" x14ac:dyDescent="0.25">
      <c r="C363" s="26"/>
      <c r="D363" s="26"/>
      <c r="E363" s="26"/>
      <c r="F363" s="26"/>
      <c r="G363" s="26"/>
      <c r="H363" s="26"/>
      <c r="I363" s="26"/>
    </row>
    <row r="364" spans="3:12" ht="15" customHeight="1" x14ac:dyDescent="0.25">
      <c r="C364" s="26"/>
      <c r="D364" s="26"/>
      <c r="E364" s="26"/>
      <c r="F364" s="26"/>
      <c r="G364" s="26"/>
      <c r="H364" s="26"/>
      <c r="I364" s="26"/>
    </row>
    <row r="365" spans="3:12" ht="15" customHeight="1" x14ac:dyDescent="0.25">
      <c r="C365" s="26"/>
      <c r="D365" s="26"/>
      <c r="E365" s="26"/>
      <c r="F365" s="26"/>
      <c r="G365" s="26"/>
      <c r="H365" s="26"/>
      <c r="I365" s="26"/>
    </row>
    <row r="366" spans="3:12" ht="15" customHeight="1" x14ac:dyDescent="0.25">
      <c r="C366" s="26"/>
      <c r="D366" s="26"/>
      <c r="E366" s="26"/>
      <c r="F366" s="26"/>
      <c r="G366" s="26"/>
      <c r="H366" s="26"/>
      <c r="I366" s="26"/>
    </row>
    <row r="367" spans="3:12" ht="15" customHeight="1" x14ac:dyDescent="0.25">
      <c r="C367" s="26"/>
      <c r="D367" s="26"/>
      <c r="E367" s="26"/>
      <c r="F367" s="26"/>
      <c r="G367" s="26"/>
      <c r="H367" s="26"/>
      <c r="I367" s="26"/>
    </row>
    <row r="368" spans="3:12" ht="15" customHeight="1" x14ac:dyDescent="0.25">
      <c r="C368" s="26"/>
      <c r="D368" s="26"/>
      <c r="E368" s="26"/>
      <c r="F368" s="26"/>
      <c r="G368" s="26"/>
      <c r="H368" s="26"/>
      <c r="I368" s="26"/>
    </row>
    <row r="369" spans="1:11" ht="15" customHeight="1" x14ac:dyDescent="0.25">
      <c r="C369" s="26"/>
      <c r="D369" s="26"/>
      <c r="E369" s="26"/>
      <c r="F369" s="26"/>
      <c r="G369" s="26"/>
      <c r="H369" s="26"/>
      <c r="I369" s="26"/>
    </row>
    <row r="370" spans="1:11" s="28" customFormat="1" ht="15" customHeight="1" x14ac:dyDescent="0.25">
      <c r="A370" s="123"/>
      <c r="B370" s="1"/>
      <c r="C370" s="26"/>
      <c r="D370" s="26"/>
      <c r="E370" s="26"/>
      <c r="F370" s="26"/>
      <c r="G370" s="26"/>
      <c r="H370" s="26"/>
      <c r="I370" s="26"/>
      <c r="J370" s="8"/>
      <c r="K370" s="8"/>
    </row>
    <row r="371" spans="1:11" s="27" customFormat="1" ht="15" customHeight="1" x14ac:dyDescent="0.25">
      <c r="A371" s="124"/>
      <c r="B371" s="1"/>
      <c r="C371" s="26"/>
      <c r="D371" s="26"/>
      <c r="E371" s="26"/>
      <c r="F371" s="26"/>
      <c r="G371" s="26"/>
      <c r="H371" s="26"/>
      <c r="I371" s="26"/>
      <c r="J371" s="8"/>
      <c r="K371" s="8"/>
    </row>
    <row r="372" spans="1:11" s="27" customFormat="1" ht="15" customHeight="1" x14ac:dyDescent="0.25">
      <c r="A372" s="124"/>
      <c r="B372" s="1"/>
      <c r="C372" s="26"/>
      <c r="D372" s="26"/>
      <c r="E372" s="26"/>
      <c r="F372" s="26"/>
      <c r="G372" s="26"/>
      <c r="H372" s="26"/>
      <c r="I372" s="26"/>
      <c r="J372" s="8"/>
      <c r="K372" s="8"/>
    </row>
    <row r="373" spans="1:11" s="27" customFormat="1" ht="15" customHeight="1" x14ac:dyDescent="0.25">
      <c r="A373" s="124"/>
      <c r="B373" s="1"/>
      <c r="C373" s="26"/>
      <c r="D373" s="26"/>
      <c r="E373" s="26"/>
      <c r="F373" s="26"/>
      <c r="G373" s="26"/>
      <c r="H373" s="26"/>
      <c r="I373" s="26"/>
      <c r="J373" s="8"/>
      <c r="K373" s="8"/>
    </row>
    <row r="374" spans="1:11" s="27" customFormat="1" ht="15" customHeight="1" x14ac:dyDescent="0.25">
      <c r="A374" s="124"/>
      <c r="B374" s="1"/>
      <c r="C374" s="26"/>
      <c r="D374" s="26"/>
      <c r="E374" s="26"/>
      <c r="F374" s="26"/>
      <c r="G374" s="26"/>
      <c r="H374" s="26"/>
      <c r="I374" s="26"/>
      <c r="J374" s="8"/>
      <c r="K374" s="8"/>
    </row>
    <row r="375" spans="1:11" s="27" customFormat="1" ht="15" customHeight="1" x14ac:dyDescent="0.25">
      <c r="A375" s="124"/>
      <c r="B375" s="1"/>
      <c r="C375" s="26"/>
      <c r="D375" s="26"/>
      <c r="E375" s="26"/>
      <c r="F375" s="26"/>
      <c r="G375" s="26"/>
      <c r="H375" s="26"/>
      <c r="I375" s="26"/>
      <c r="J375" s="8"/>
      <c r="K375" s="8"/>
    </row>
    <row r="376" spans="1:11" s="27" customFormat="1" ht="15" customHeight="1" x14ac:dyDescent="0.25">
      <c r="A376" s="124"/>
      <c r="B376" s="1"/>
      <c r="C376" s="26"/>
      <c r="D376" s="26"/>
      <c r="E376" s="26"/>
      <c r="F376" s="26"/>
      <c r="G376" s="26"/>
      <c r="H376" s="26"/>
      <c r="I376" s="26"/>
      <c r="J376" s="8"/>
      <c r="K376" s="8"/>
    </row>
    <row r="377" spans="1:11" s="27" customFormat="1" ht="15" customHeight="1" x14ac:dyDescent="0.25">
      <c r="A377" s="124"/>
      <c r="B377" s="1"/>
      <c r="C377" s="26"/>
      <c r="D377" s="26"/>
      <c r="E377" s="26"/>
      <c r="F377" s="26"/>
      <c r="G377" s="26"/>
      <c r="H377" s="26"/>
      <c r="I377" s="26"/>
      <c r="J377" s="8"/>
      <c r="K377" s="8"/>
    </row>
    <row r="378" spans="1:11" s="27" customFormat="1" ht="15" customHeight="1" x14ac:dyDescent="0.25">
      <c r="A378" s="124"/>
      <c r="B378" s="1"/>
      <c r="C378" s="26"/>
      <c r="D378" s="26"/>
      <c r="E378" s="26"/>
      <c r="F378" s="26"/>
      <c r="G378" s="26"/>
      <c r="H378" s="26"/>
      <c r="I378" s="26"/>
      <c r="J378" s="8"/>
      <c r="K378" s="8"/>
    </row>
    <row r="379" spans="1:11" s="27" customFormat="1" ht="15" customHeight="1" x14ac:dyDescent="0.25">
      <c r="A379" s="124"/>
      <c r="B379" s="1"/>
      <c r="C379" s="26"/>
      <c r="D379" s="26"/>
      <c r="E379" s="26"/>
      <c r="F379" s="26"/>
      <c r="G379" s="26"/>
      <c r="H379" s="26"/>
      <c r="I379" s="26"/>
      <c r="J379" s="8"/>
      <c r="K379" s="8"/>
    </row>
    <row r="380" spans="1:11" s="27" customFormat="1" ht="15" customHeight="1" x14ac:dyDescent="0.25">
      <c r="A380" s="124"/>
      <c r="B380" s="1"/>
      <c r="C380" s="26"/>
      <c r="D380" s="26"/>
      <c r="E380" s="26"/>
      <c r="F380" s="26"/>
      <c r="G380" s="26"/>
      <c r="H380" s="26"/>
      <c r="I380" s="26"/>
      <c r="J380" s="8"/>
      <c r="K380" s="8"/>
    </row>
    <row r="381" spans="1:11" s="27" customFormat="1" ht="15" customHeight="1" x14ac:dyDescent="0.25">
      <c r="A381" s="124"/>
      <c r="B381" s="1"/>
      <c r="C381" s="26"/>
      <c r="D381" s="26"/>
      <c r="E381" s="26"/>
      <c r="F381" s="26"/>
      <c r="G381" s="26"/>
      <c r="H381" s="26"/>
      <c r="I381" s="26"/>
      <c r="J381" s="8"/>
      <c r="K381" s="8"/>
    </row>
    <row r="382" spans="1:11" s="27" customFormat="1" ht="15" customHeight="1" x14ac:dyDescent="0.25">
      <c r="A382" s="124"/>
      <c r="B382" s="1"/>
      <c r="C382" s="26"/>
      <c r="D382" s="26"/>
      <c r="E382" s="26"/>
      <c r="F382" s="26"/>
      <c r="G382" s="26"/>
      <c r="H382" s="26"/>
      <c r="I382" s="26"/>
      <c r="J382" s="8"/>
      <c r="K382" s="8"/>
    </row>
    <row r="383" spans="1:11" ht="15" customHeight="1" x14ac:dyDescent="0.25">
      <c r="C383" s="26"/>
      <c r="D383" s="26"/>
      <c r="E383" s="26"/>
      <c r="F383" s="26"/>
      <c r="G383" s="26"/>
      <c r="H383" s="26"/>
      <c r="I383" s="26"/>
    </row>
    <row r="384" spans="1:11" ht="15" customHeight="1" x14ac:dyDescent="0.25">
      <c r="C384" s="26"/>
      <c r="D384" s="26"/>
      <c r="E384" s="26"/>
      <c r="F384" s="26"/>
      <c r="G384" s="26"/>
      <c r="H384" s="26"/>
      <c r="I384" s="26"/>
    </row>
    <row r="385" spans="3:9" ht="15" customHeight="1" x14ac:dyDescent="0.25">
      <c r="C385" s="26"/>
      <c r="D385" s="26"/>
      <c r="E385" s="26"/>
      <c r="F385" s="26"/>
      <c r="G385" s="26"/>
      <c r="H385" s="26"/>
      <c r="I385" s="26"/>
    </row>
    <row r="386" spans="3:9" ht="15" customHeight="1" x14ac:dyDescent="0.25">
      <c r="C386" s="26"/>
      <c r="D386" s="26"/>
      <c r="E386" s="26"/>
      <c r="F386" s="26"/>
      <c r="G386" s="26"/>
      <c r="H386" s="26"/>
      <c r="I386" s="26"/>
    </row>
    <row r="387" spans="3:9" ht="15" customHeight="1" x14ac:dyDescent="0.25">
      <c r="C387" s="26"/>
      <c r="D387" s="26"/>
      <c r="E387" s="26"/>
      <c r="F387" s="26"/>
      <c r="G387" s="26"/>
      <c r="H387" s="26"/>
      <c r="I387" s="26"/>
    </row>
    <row r="388" spans="3:9" ht="15" customHeight="1" x14ac:dyDescent="0.25">
      <c r="C388" s="26"/>
      <c r="D388" s="26"/>
      <c r="E388" s="26"/>
      <c r="F388" s="26"/>
      <c r="G388" s="26"/>
      <c r="H388" s="26"/>
      <c r="I388" s="26"/>
    </row>
    <row r="389" spans="3:9" ht="15" customHeight="1" x14ac:dyDescent="0.25">
      <c r="C389" s="26"/>
      <c r="D389" s="26"/>
      <c r="E389" s="26"/>
      <c r="F389" s="26"/>
      <c r="G389" s="26"/>
      <c r="H389" s="26"/>
      <c r="I389" s="26"/>
    </row>
    <row r="390" spans="3:9" ht="15" customHeight="1" x14ac:dyDescent="0.25">
      <c r="C390" s="26"/>
      <c r="D390" s="26"/>
      <c r="E390" s="26"/>
      <c r="F390" s="26"/>
      <c r="G390" s="26"/>
      <c r="H390" s="26"/>
      <c r="I390" s="26"/>
    </row>
    <row r="391" spans="3:9" ht="15" customHeight="1" x14ac:dyDescent="0.25">
      <c r="C391" s="26"/>
      <c r="D391" s="26"/>
      <c r="E391" s="26"/>
      <c r="F391" s="26"/>
      <c r="G391" s="26"/>
      <c r="H391" s="26"/>
      <c r="I391" s="26"/>
    </row>
    <row r="392" spans="3:9" ht="15" customHeight="1" x14ac:dyDescent="0.25">
      <c r="C392" s="26"/>
      <c r="D392" s="26"/>
      <c r="E392" s="26"/>
      <c r="F392" s="26"/>
      <c r="G392" s="26"/>
      <c r="H392" s="26"/>
      <c r="I392" s="26"/>
    </row>
    <row r="393" spans="3:9" ht="15" customHeight="1" x14ac:dyDescent="0.25">
      <c r="C393" s="26"/>
      <c r="D393" s="26"/>
      <c r="E393" s="26"/>
      <c r="F393" s="26"/>
      <c r="G393" s="26"/>
      <c r="H393" s="26"/>
      <c r="I393" s="26"/>
    </row>
    <row r="394" spans="3:9" ht="15" customHeight="1" x14ac:dyDescent="0.25">
      <c r="C394" s="26"/>
      <c r="D394" s="26"/>
      <c r="E394" s="26"/>
      <c r="F394" s="26"/>
      <c r="G394" s="26"/>
      <c r="H394" s="26"/>
      <c r="I394" s="26"/>
    </row>
    <row r="395" spans="3:9" ht="15" customHeight="1" x14ac:dyDescent="0.25">
      <c r="C395" s="26"/>
      <c r="D395" s="26"/>
      <c r="E395" s="26"/>
      <c r="F395" s="26"/>
      <c r="G395" s="26"/>
      <c r="H395" s="26"/>
      <c r="I395" s="26"/>
    </row>
    <row r="396" spans="3:9" ht="15" customHeight="1" x14ac:dyDescent="0.25">
      <c r="C396" s="26"/>
      <c r="D396" s="26"/>
      <c r="E396" s="26"/>
      <c r="F396" s="26"/>
      <c r="G396" s="26"/>
      <c r="H396" s="26"/>
      <c r="I396" s="26"/>
    </row>
    <row r="397" spans="3:9" ht="15" customHeight="1" x14ac:dyDescent="0.25">
      <c r="C397" s="26"/>
      <c r="D397" s="26"/>
      <c r="E397" s="26"/>
      <c r="F397" s="26"/>
      <c r="G397" s="26"/>
      <c r="H397" s="26"/>
      <c r="I397" s="26"/>
    </row>
    <row r="398" spans="3:9" ht="15" customHeight="1" x14ac:dyDescent="0.25">
      <c r="C398" s="26"/>
      <c r="D398" s="26"/>
      <c r="E398" s="26"/>
      <c r="F398" s="26"/>
      <c r="G398" s="26"/>
      <c r="H398" s="26"/>
      <c r="I398" s="26"/>
    </row>
    <row r="399" spans="3:9" ht="15" customHeight="1" x14ac:dyDescent="0.25">
      <c r="C399" s="26"/>
      <c r="D399" s="26"/>
      <c r="E399" s="26"/>
      <c r="F399" s="26"/>
      <c r="G399" s="26"/>
      <c r="H399" s="26"/>
      <c r="I399" s="26"/>
    </row>
    <row r="400" spans="3:9" ht="15" customHeight="1" x14ac:dyDescent="0.25">
      <c r="C400" s="26"/>
      <c r="D400" s="26"/>
      <c r="E400" s="26"/>
      <c r="F400" s="26"/>
      <c r="G400" s="26"/>
      <c r="H400" s="26"/>
      <c r="I400" s="26"/>
    </row>
    <row r="401" spans="3:9" ht="15" customHeight="1" x14ac:dyDescent="0.25">
      <c r="C401" s="26"/>
      <c r="D401" s="26"/>
      <c r="E401" s="26"/>
      <c r="F401" s="26"/>
      <c r="G401" s="26"/>
      <c r="H401" s="26"/>
      <c r="I401" s="26"/>
    </row>
    <row r="402" spans="3:9" ht="15" customHeight="1" x14ac:dyDescent="0.25">
      <c r="C402" s="26"/>
      <c r="D402" s="26"/>
      <c r="E402" s="26"/>
      <c r="F402" s="26"/>
      <c r="G402" s="26"/>
      <c r="H402" s="26"/>
      <c r="I402" s="26"/>
    </row>
    <row r="403" spans="3:9" ht="15" customHeight="1" x14ac:dyDescent="0.25">
      <c r="C403" s="26"/>
      <c r="D403" s="26"/>
      <c r="E403" s="26"/>
      <c r="F403" s="26"/>
      <c r="G403" s="26"/>
      <c r="H403" s="26"/>
      <c r="I403" s="26"/>
    </row>
    <row r="404" spans="3:9" ht="15" customHeight="1" x14ac:dyDescent="0.25">
      <c r="C404" s="26"/>
      <c r="D404" s="26"/>
      <c r="E404" s="26"/>
      <c r="F404" s="26"/>
      <c r="G404" s="26"/>
      <c r="H404" s="26"/>
      <c r="I404" s="26"/>
    </row>
    <row r="405" spans="3:9" ht="15" customHeight="1" x14ac:dyDescent="0.25">
      <c r="C405" s="26"/>
      <c r="D405" s="26"/>
      <c r="E405" s="26"/>
      <c r="F405" s="26"/>
      <c r="G405" s="26"/>
      <c r="H405" s="26"/>
      <c r="I405" s="26"/>
    </row>
    <row r="406" spans="3:9" ht="15" customHeight="1" x14ac:dyDescent="0.25">
      <c r="C406" s="26"/>
      <c r="D406" s="26"/>
      <c r="E406" s="26"/>
      <c r="F406" s="26"/>
      <c r="G406" s="26"/>
      <c r="H406" s="26"/>
      <c r="I406" s="26"/>
    </row>
    <row r="407" spans="3:9" ht="15" customHeight="1" x14ac:dyDescent="0.25">
      <c r="C407" s="26"/>
      <c r="D407" s="26"/>
      <c r="E407" s="26"/>
      <c r="F407" s="26"/>
      <c r="G407" s="26"/>
      <c r="H407" s="26"/>
      <c r="I407" s="26"/>
    </row>
    <row r="408" spans="3:9" ht="15" customHeight="1" x14ac:dyDescent="0.25">
      <c r="C408" s="26"/>
      <c r="D408" s="26"/>
      <c r="E408" s="26"/>
      <c r="F408" s="26"/>
      <c r="G408" s="26"/>
      <c r="H408" s="26"/>
      <c r="I408" s="26"/>
    </row>
    <row r="409" spans="3:9" ht="15" customHeight="1" x14ac:dyDescent="0.25">
      <c r="C409" s="26"/>
      <c r="D409" s="26"/>
      <c r="E409" s="26"/>
      <c r="F409" s="26"/>
      <c r="G409" s="26"/>
      <c r="H409" s="26"/>
      <c r="I409" s="26"/>
    </row>
    <row r="410" spans="3:9" ht="15" customHeight="1" x14ac:dyDescent="0.25">
      <c r="C410" s="26"/>
      <c r="D410" s="26"/>
      <c r="E410" s="26"/>
      <c r="F410" s="26"/>
      <c r="G410" s="26"/>
      <c r="H410" s="26"/>
      <c r="I410" s="26"/>
    </row>
    <row r="411" spans="3:9" ht="15" customHeight="1" x14ac:dyDescent="0.25">
      <c r="C411" s="26"/>
      <c r="D411" s="26"/>
      <c r="E411" s="26"/>
      <c r="F411" s="26"/>
      <c r="G411" s="26"/>
      <c r="H411" s="26"/>
      <c r="I411" s="26"/>
    </row>
    <row r="412" spans="3:9" ht="15" customHeight="1" x14ac:dyDescent="0.25">
      <c r="C412" s="26"/>
      <c r="D412" s="26"/>
      <c r="E412" s="26"/>
      <c r="F412" s="26"/>
      <c r="G412" s="26"/>
      <c r="H412" s="26"/>
      <c r="I412" s="26"/>
    </row>
    <row r="413" spans="3:9" ht="15" customHeight="1" x14ac:dyDescent="0.25">
      <c r="C413" s="26"/>
      <c r="D413" s="26"/>
      <c r="E413" s="26"/>
      <c r="F413" s="26"/>
      <c r="G413" s="26"/>
      <c r="H413" s="26"/>
      <c r="I413" s="26"/>
    </row>
    <row r="414" spans="3:9" ht="15" customHeight="1" x14ac:dyDescent="0.25">
      <c r="C414" s="26"/>
      <c r="D414" s="26"/>
      <c r="E414" s="26"/>
      <c r="F414" s="26"/>
      <c r="G414" s="26"/>
      <c r="H414" s="26"/>
      <c r="I414" s="26"/>
    </row>
    <row r="415" spans="3:9" ht="15" customHeight="1" x14ac:dyDescent="0.25">
      <c r="C415" s="26"/>
      <c r="D415" s="26"/>
      <c r="E415" s="26"/>
      <c r="F415" s="26"/>
      <c r="G415" s="26"/>
      <c r="H415" s="26"/>
      <c r="I415" s="26"/>
    </row>
    <row r="416" spans="3:9" ht="15" customHeight="1" x14ac:dyDescent="0.25">
      <c r="C416" s="26"/>
      <c r="D416" s="26"/>
      <c r="E416" s="26"/>
      <c r="F416" s="26"/>
      <c r="G416" s="26"/>
      <c r="H416" s="26"/>
      <c r="I416" s="26"/>
    </row>
    <row r="417" spans="3:9" ht="15" customHeight="1" x14ac:dyDescent="0.25">
      <c r="C417" s="26"/>
      <c r="D417" s="26"/>
      <c r="E417" s="26"/>
      <c r="F417" s="26"/>
      <c r="G417" s="26"/>
      <c r="H417" s="26"/>
      <c r="I417" s="26"/>
    </row>
    <row r="418" spans="3:9" ht="15" customHeight="1" x14ac:dyDescent="0.25">
      <c r="C418" s="26"/>
      <c r="D418" s="26"/>
      <c r="E418" s="26"/>
      <c r="F418" s="26"/>
      <c r="G418" s="26"/>
      <c r="H418" s="26"/>
      <c r="I418" s="26"/>
    </row>
    <row r="419" spans="3:9" ht="15" customHeight="1" x14ac:dyDescent="0.25">
      <c r="C419" s="26"/>
      <c r="D419" s="26"/>
      <c r="E419" s="26"/>
      <c r="F419" s="26"/>
      <c r="G419" s="26"/>
      <c r="H419" s="26"/>
      <c r="I419" s="26"/>
    </row>
    <row r="420" spans="3:9" ht="15" customHeight="1" x14ac:dyDescent="0.25">
      <c r="C420" s="26"/>
      <c r="D420" s="26"/>
      <c r="E420" s="26"/>
      <c r="F420" s="26"/>
      <c r="G420" s="26"/>
      <c r="H420" s="26"/>
      <c r="I420" s="26"/>
    </row>
    <row r="421" spans="3:9" ht="15" customHeight="1" x14ac:dyDescent="0.25">
      <c r="C421" s="26"/>
      <c r="D421" s="26"/>
      <c r="E421" s="26"/>
      <c r="F421" s="26"/>
      <c r="G421" s="26"/>
      <c r="H421" s="26"/>
      <c r="I421" s="26"/>
    </row>
    <row r="422" spans="3:9" ht="15" customHeight="1" x14ac:dyDescent="0.25">
      <c r="C422" s="26"/>
      <c r="D422" s="26"/>
      <c r="E422" s="26"/>
      <c r="F422" s="26"/>
      <c r="G422" s="26"/>
      <c r="H422" s="26"/>
      <c r="I422" s="26"/>
    </row>
    <row r="423" spans="3:9" ht="15" customHeight="1" x14ac:dyDescent="0.25">
      <c r="C423" s="26"/>
      <c r="D423" s="26"/>
      <c r="E423" s="26"/>
      <c r="F423" s="26"/>
      <c r="G423" s="26"/>
      <c r="H423" s="26"/>
      <c r="I423" s="26"/>
    </row>
    <row r="424" spans="3:9" ht="15" customHeight="1" x14ac:dyDescent="0.25">
      <c r="C424" s="26"/>
      <c r="D424" s="26"/>
      <c r="E424" s="26"/>
      <c r="F424" s="26"/>
      <c r="G424" s="26"/>
      <c r="H424" s="26"/>
      <c r="I424" s="26"/>
    </row>
    <row r="425" spans="3:9" ht="15" customHeight="1" x14ac:dyDescent="0.25">
      <c r="C425" s="26"/>
      <c r="D425" s="26"/>
      <c r="E425" s="26"/>
      <c r="F425" s="26"/>
      <c r="G425" s="26"/>
      <c r="H425" s="26"/>
      <c r="I425" s="26"/>
    </row>
    <row r="426" spans="3:9" ht="15" customHeight="1" x14ac:dyDescent="0.25">
      <c r="C426" s="26"/>
      <c r="D426" s="26"/>
      <c r="E426" s="26"/>
      <c r="F426" s="26"/>
      <c r="G426" s="26"/>
      <c r="H426" s="26"/>
      <c r="I426" s="26"/>
    </row>
    <row r="427" spans="3:9" ht="15" customHeight="1" x14ac:dyDescent="0.25">
      <c r="C427" s="26"/>
      <c r="D427" s="26"/>
      <c r="E427" s="26"/>
      <c r="F427" s="26"/>
      <c r="G427" s="26"/>
      <c r="H427" s="26"/>
      <c r="I427" s="26"/>
    </row>
    <row r="428" spans="3:9" ht="15" customHeight="1" x14ac:dyDescent="0.25">
      <c r="C428" s="26"/>
      <c r="D428" s="26"/>
      <c r="E428" s="26"/>
      <c r="F428" s="26"/>
      <c r="G428" s="26"/>
      <c r="H428" s="26"/>
      <c r="I428" s="26"/>
    </row>
    <row r="429" spans="3:9" ht="15" customHeight="1" x14ac:dyDescent="0.25">
      <c r="C429" s="26"/>
      <c r="D429" s="26"/>
      <c r="E429" s="26"/>
      <c r="F429" s="26"/>
      <c r="G429" s="26"/>
      <c r="H429" s="26"/>
      <c r="I429" s="26"/>
    </row>
    <row r="430" spans="3:9" ht="15" customHeight="1" x14ac:dyDescent="0.25">
      <c r="C430" s="26"/>
      <c r="D430" s="26"/>
      <c r="E430" s="26"/>
      <c r="F430" s="26"/>
      <c r="G430" s="26"/>
      <c r="H430" s="26"/>
      <c r="I430" s="26"/>
    </row>
    <row r="431" spans="3:9" ht="15" customHeight="1" x14ac:dyDescent="0.25">
      <c r="C431" s="26"/>
      <c r="D431" s="26"/>
      <c r="E431" s="26"/>
      <c r="F431" s="26"/>
      <c r="G431" s="26"/>
      <c r="H431" s="26"/>
      <c r="I431" s="26"/>
    </row>
    <row r="432" spans="3:9" ht="15" customHeight="1" x14ac:dyDescent="0.25">
      <c r="C432" s="26"/>
      <c r="D432" s="26"/>
      <c r="E432" s="26"/>
      <c r="F432" s="26"/>
      <c r="G432" s="26"/>
      <c r="H432" s="26"/>
      <c r="I432" s="26"/>
    </row>
    <row r="433" spans="3:9" ht="15" customHeight="1" x14ac:dyDescent="0.25">
      <c r="C433" s="26"/>
      <c r="D433" s="26"/>
      <c r="E433" s="26"/>
      <c r="F433" s="26"/>
      <c r="G433" s="26"/>
      <c r="H433" s="26"/>
      <c r="I433" s="26"/>
    </row>
    <row r="434" spans="3:9" ht="15" customHeight="1" x14ac:dyDescent="0.25">
      <c r="C434" s="26"/>
      <c r="D434" s="26"/>
      <c r="E434" s="26"/>
      <c r="F434" s="26"/>
      <c r="G434" s="26"/>
      <c r="H434" s="26"/>
      <c r="I434" s="26"/>
    </row>
    <row r="435" spans="3:9" ht="15" customHeight="1" x14ac:dyDescent="0.25">
      <c r="C435" s="26"/>
      <c r="D435" s="26"/>
      <c r="E435" s="26"/>
      <c r="F435" s="26"/>
      <c r="G435" s="26"/>
      <c r="H435" s="26"/>
      <c r="I435" s="26"/>
    </row>
    <row r="436" spans="3:9" ht="15" customHeight="1" x14ac:dyDescent="0.25">
      <c r="C436" s="26"/>
      <c r="D436" s="26"/>
      <c r="E436" s="26"/>
      <c r="F436" s="26"/>
      <c r="G436" s="26"/>
      <c r="H436" s="26"/>
      <c r="I436" s="26"/>
    </row>
    <row r="437" spans="3:9" ht="15" customHeight="1" x14ac:dyDescent="0.25">
      <c r="C437" s="26"/>
      <c r="D437" s="26"/>
      <c r="E437" s="26"/>
      <c r="F437" s="26"/>
      <c r="G437" s="26"/>
      <c r="H437" s="26"/>
      <c r="I437" s="26"/>
    </row>
    <row r="438" spans="3:9" ht="15" customHeight="1" x14ac:dyDescent="0.25">
      <c r="C438" s="26"/>
      <c r="D438" s="26"/>
      <c r="E438" s="26"/>
      <c r="F438" s="26"/>
      <c r="G438" s="26"/>
      <c r="H438" s="26"/>
      <c r="I438" s="26"/>
    </row>
    <row r="439" spans="3:9" ht="15" customHeight="1" x14ac:dyDescent="0.25">
      <c r="C439" s="26"/>
      <c r="D439" s="26"/>
      <c r="E439" s="26"/>
      <c r="F439" s="26"/>
      <c r="G439" s="26"/>
      <c r="H439" s="26"/>
      <c r="I439" s="26"/>
    </row>
    <row r="440" spans="3:9" ht="15" customHeight="1" x14ac:dyDescent="0.25">
      <c r="C440" s="26"/>
      <c r="D440" s="26"/>
      <c r="E440" s="26"/>
      <c r="F440" s="26"/>
      <c r="G440" s="26"/>
      <c r="H440" s="26"/>
      <c r="I440" s="26"/>
    </row>
    <row r="441" spans="3:9" ht="15" customHeight="1" x14ac:dyDescent="0.25">
      <c r="C441" s="26"/>
      <c r="D441" s="26"/>
      <c r="E441" s="26"/>
      <c r="F441" s="26"/>
      <c r="G441" s="26"/>
      <c r="H441" s="26"/>
      <c r="I441" s="26"/>
    </row>
    <row r="442" spans="3:9" ht="15" customHeight="1" x14ac:dyDescent="0.25">
      <c r="C442" s="26"/>
      <c r="D442" s="26"/>
      <c r="E442" s="26"/>
      <c r="F442" s="26"/>
      <c r="G442" s="26"/>
      <c r="H442" s="26"/>
      <c r="I442" s="26"/>
    </row>
    <row r="443" spans="3:9" ht="15" customHeight="1" x14ac:dyDescent="0.25">
      <c r="C443" s="26"/>
      <c r="D443" s="26"/>
      <c r="E443" s="26"/>
      <c r="F443" s="26"/>
      <c r="G443" s="26"/>
      <c r="H443" s="26"/>
      <c r="I443" s="26"/>
    </row>
    <row r="444" spans="3:9" ht="15" customHeight="1" x14ac:dyDescent="0.25">
      <c r="C444" s="26"/>
      <c r="D444" s="26"/>
      <c r="E444" s="26"/>
      <c r="F444" s="26"/>
      <c r="G444" s="26"/>
      <c r="H444" s="26"/>
      <c r="I444" s="26"/>
    </row>
    <row r="445" spans="3:9" ht="15" customHeight="1" x14ac:dyDescent="0.25">
      <c r="C445" s="26"/>
      <c r="D445" s="26"/>
      <c r="E445" s="26"/>
      <c r="F445" s="26"/>
      <c r="G445" s="26"/>
      <c r="H445" s="26"/>
      <c r="I445" s="26"/>
    </row>
    <row r="446" spans="3:9" ht="15" customHeight="1" x14ac:dyDescent="0.25">
      <c r="C446" s="26"/>
      <c r="D446" s="26"/>
      <c r="E446" s="26"/>
      <c r="F446" s="26"/>
      <c r="G446" s="26"/>
      <c r="H446" s="26"/>
      <c r="I446" s="26"/>
    </row>
    <row r="447" spans="3:9" ht="15" customHeight="1" x14ac:dyDescent="0.25">
      <c r="C447" s="26"/>
      <c r="D447" s="26"/>
      <c r="E447" s="26"/>
      <c r="F447" s="26"/>
      <c r="G447" s="26"/>
      <c r="H447" s="26"/>
      <c r="I447" s="26"/>
    </row>
    <row r="448" spans="3:9" ht="15" customHeight="1" x14ac:dyDescent="0.25">
      <c r="C448" s="26"/>
      <c r="D448" s="26"/>
      <c r="E448" s="26"/>
      <c r="F448" s="26"/>
      <c r="G448" s="26"/>
      <c r="H448" s="26"/>
      <c r="I448" s="26"/>
    </row>
    <row r="449" spans="3:9" ht="15" customHeight="1" x14ac:dyDescent="0.25">
      <c r="C449" s="26"/>
      <c r="D449" s="26"/>
      <c r="E449" s="26"/>
      <c r="F449" s="26"/>
      <c r="G449" s="26"/>
      <c r="H449" s="26"/>
      <c r="I449" s="26"/>
    </row>
    <row r="450" spans="3:9" ht="15" customHeight="1" x14ac:dyDescent="0.25">
      <c r="C450" s="26"/>
      <c r="D450" s="26"/>
      <c r="E450" s="26"/>
      <c r="F450" s="26"/>
      <c r="G450" s="26"/>
      <c r="H450" s="26"/>
      <c r="I450" s="26"/>
    </row>
    <row r="451" spans="3:9" ht="15" customHeight="1" x14ac:dyDescent="0.25">
      <c r="C451" s="26"/>
      <c r="D451" s="26"/>
      <c r="E451" s="26"/>
      <c r="F451" s="26"/>
      <c r="G451" s="26"/>
      <c r="H451" s="26"/>
      <c r="I451" s="26"/>
    </row>
    <row r="452" spans="3:9" ht="15" customHeight="1" x14ac:dyDescent="0.25">
      <c r="C452" s="26"/>
      <c r="D452" s="26"/>
      <c r="E452" s="26"/>
      <c r="F452" s="26"/>
      <c r="G452" s="26"/>
      <c r="H452" s="26"/>
      <c r="I452" s="26"/>
    </row>
    <row r="453" spans="3:9" ht="15" customHeight="1" x14ac:dyDescent="0.25">
      <c r="C453" s="26"/>
      <c r="D453" s="26"/>
      <c r="E453" s="26"/>
      <c r="F453" s="26"/>
      <c r="G453" s="26"/>
      <c r="H453" s="26"/>
      <c r="I453" s="26"/>
    </row>
    <row r="454" spans="3:9" ht="15" customHeight="1" x14ac:dyDescent="0.25">
      <c r="C454" s="26"/>
      <c r="D454" s="26"/>
      <c r="E454" s="26"/>
      <c r="F454" s="26"/>
      <c r="G454" s="26"/>
      <c r="H454" s="26"/>
      <c r="I454" s="26"/>
    </row>
    <row r="455" spans="3:9" ht="15" customHeight="1" x14ac:dyDescent="0.25">
      <c r="C455" s="26"/>
      <c r="D455" s="26"/>
      <c r="E455" s="26"/>
      <c r="F455" s="26"/>
      <c r="G455" s="26"/>
      <c r="H455" s="26"/>
      <c r="I455" s="26"/>
    </row>
    <row r="456" spans="3:9" x14ac:dyDescent="0.25">
      <c r="C456" s="26"/>
      <c r="D456" s="26"/>
      <c r="E456" s="26"/>
      <c r="F456" s="26"/>
      <c r="G456" s="26"/>
      <c r="H456" s="26"/>
      <c r="I456" s="26"/>
    </row>
    <row r="457" spans="3:9" x14ac:dyDescent="0.25">
      <c r="C457" s="26"/>
      <c r="D457" s="26"/>
      <c r="E457" s="26"/>
      <c r="F457" s="26"/>
      <c r="G457" s="26"/>
      <c r="H457" s="26"/>
      <c r="I457" s="26"/>
    </row>
    <row r="458" spans="3:9" x14ac:dyDescent="0.25">
      <c r="C458" s="26"/>
      <c r="D458" s="26"/>
      <c r="E458" s="26"/>
      <c r="F458" s="26"/>
      <c r="G458" s="26"/>
      <c r="H458" s="26"/>
      <c r="I458" s="26"/>
    </row>
    <row r="459" spans="3:9" x14ac:dyDescent="0.25">
      <c r="C459" s="26"/>
      <c r="D459" s="26"/>
      <c r="E459" s="26"/>
      <c r="F459" s="26"/>
      <c r="G459" s="26"/>
      <c r="H459" s="26"/>
      <c r="I459" s="26"/>
    </row>
    <row r="460" spans="3:9" x14ac:dyDescent="0.25">
      <c r="C460" s="26"/>
      <c r="D460" s="26"/>
      <c r="E460" s="26"/>
      <c r="F460" s="26"/>
      <c r="G460" s="26"/>
      <c r="H460" s="26"/>
      <c r="I460" s="26"/>
    </row>
    <row r="461" spans="3:9" x14ac:dyDescent="0.25">
      <c r="C461" s="26"/>
      <c r="D461" s="26"/>
      <c r="E461" s="26"/>
      <c r="F461" s="26"/>
      <c r="G461" s="26"/>
      <c r="H461" s="26"/>
      <c r="I461" s="26"/>
    </row>
    <row r="462" spans="3:9" x14ac:dyDescent="0.25">
      <c r="C462" s="26"/>
      <c r="D462" s="26"/>
      <c r="E462" s="26"/>
      <c r="F462" s="26"/>
      <c r="G462" s="26"/>
      <c r="H462" s="26"/>
      <c r="I462" s="26"/>
    </row>
    <row r="463" spans="3:9" x14ac:dyDescent="0.25">
      <c r="C463" s="26"/>
      <c r="D463" s="26"/>
      <c r="E463" s="26"/>
      <c r="F463" s="26"/>
      <c r="G463" s="26"/>
      <c r="H463" s="26"/>
      <c r="I463" s="26"/>
    </row>
    <row r="464" spans="3:9" x14ac:dyDescent="0.25">
      <c r="C464" s="26"/>
      <c r="D464" s="26"/>
      <c r="E464" s="26"/>
      <c r="F464" s="26"/>
      <c r="G464" s="26"/>
      <c r="H464" s="26"/>
      <c r="I464" s="26"/>
    </row>
    <row r="465" spans="3:9" x14ac:dyDescent="0.25">
      <c r="C465" s="26"/>
      <c r="D465" s="26"/>
      <c r="E465" s="26"/>
      <c r="F465" s="26"/>
      <c r="G465" s="26"/>
      <c r="H465" s="26"/>
      <c r="I465" s="26"/>
    </row>
    <row r="466" spans="3:9" x14ac:dyDescent="0.25">
      <c r="C466" s="26"/>
      <c r="D466" s="26"/>
      <c r="E466" s="26"/>
      <c r="F466" s="26"/>
      <c r="G466" s="26"/>
      <c r="H466" s="26"/>
      <c r="I466" s="26"/>
    </row>
    <row r="467" spans="3:9" x14ac:dyDescent="0.25">
      <c r="C467" s="26"/>
      <c r="D467" s="26"/>
      <c r="E467" s="26"/>
      <c r="F467" s="26"/>
      <c r="G467" s="26"/>
      <c r="H467" s="26"/>
      <c r="I467" s="26"/>
    </row>
    <row r="468" spans="3:9" x14ac:dyDescent="0.25">
      <c r="C468" s="26"/>
      <c r="D468" s="26"/>
      <c r="E468" s="26"/>
      <c r="F468" s="26"/>
      <c r="G468" s="26"/>
      <c r="H468" s="26"/>
      <c r="I468" s="26"/>
    </row>
    <row r="469" spans="3:9" x14ac:dyDescent="0.25">
      <c r="C469" s="26"/>
      <c r="D469" s="26"/>
      <c r="E469" s="26"/>
      <c r="F469" s="26"/>
      <c r="G469" s="26"/>
      <c r="H469" s="26"/>
      <c r="I469" s="26"/>
    </row>
    <row r="470" spans="3:9" x14ac:dyDescent="0.25">
      <c r="C470" s="26"/>
      <c r="D470" s="26"/>
      <c r="E470" s="26"/>
      <c r="F470" s="26"/>
      <c r="G470" s="26"/>
      <c r="H470" s="26"/>
      <c r="I470" s="26"/>
    </row>
    <row r="471" spans="3:9" x14ac:dyDescent="0.25">
      <c r="C471" s="26"/>
      <c r="D471" s="26"/>
      <c r="E471" s="26"/>
      <c r="F471" s="26"/>
      <c r="G471" s="26"/>
      <c r="H471" s="26"/>
      <c r="I471" s="26"/>
    </row>
    <row r="472" spans="3:9" x14ac:dyDescent="0.25">
      <c r="C472" s="26"/>
      <c r="D472" s="26"/>
      <c r="E472" s="26"/>
      <c r="F472" s="26"/>
      <c r="G472" s="26"/>
      <c r="H472" s="26"/>
      <c r="I472" s="26"/>
    </row>
    <row r="473" spans="3:9" x14ac:dyDescent="0.25">
      <c r="C473" s="26"/>
      <c r="D473" s="26"/>
      <c r="E473" s="26"/>
      <c r="F473" s="26"/>
      <c r="G473" s="26"/>
      <c r="H473" s="26"/>
      <c r="I473" s="26"/>
    </row>
    <row r="474" spans="3:9" x14ac:dyDescent="0.25">
      <c r="C474" s="26"/>
      <c r="D474" s="26"/>
      <c r="E474" s="26"/>
      <c r="F474" s="26"/>
      <c r="G474" s="26"/>
      <c r="H474" s="26"/>
      <c r="I474" s="26"/>
    </row>
    <row r="475" spans="3:9" x14ac:dyDescent="0.25">
      <c r="C475" s="26"/>
      <c r="D475" s="26"/>
      <c r="E475" s="26"/>
      <c r="F475" s="26"/>
      <c r="G475" s="26"/>
      <c r="H475" s="26"/>
      <c r="I475" s="26"/>
    </row>
    <row r="476" spans="3:9" x14ac:dyDescent="0.25">
      <c r="C476" s="26"/>
      <c r="D476" s="26"/>
      <c r="E476" s="26"/>
      <c r="F476" s="26"/>
      <c r="G476" s="26"/>
      <c r="H476" s="26"/>
      <c r="I476" s="26"/>
    </row>
    <row r="477" spans="3:9" x14ac:dyDescent="0.25">
      <c r="C477" s="26"/>
      <c r="D477" s="26"/>
      <c r="E477" s="26"/>
      <c r="F477" s="26"/>
      <c r="G477" s="26"/>
      <c r="H477" s="26"/>
      <c r="I477" s="26"/>
    </row>
    <row r="478" spans="3:9" x14ac:dyDescent="0.25">
      <c r="C478" s="26"/>
      <c r="D478" s="26"/>
      <c r="E478" s="26"/>
      <c r="F478" s="26"/>
      <c r="G478" s="26"/>
      <c r="H478" s="26"/>
      <c r="I478" s="26"/>
    </row>
    <row r="479" spans="3:9" x14ac:dyDescent="0.25">
      <c r="C479" s="26"/>
      <c r="D479" s="26"/>
      <c r="E479" s="26"/>
      <c r="F479" s="26"/>
      <c r="G479" s="26"/>
      <c r="H479" s="26"/>
      <c r="I479" s="26"/>
    </row>
    <row r="480" spans="3:9" x14ac:dyDescent="0.25">
      <c r="C480" s="26"/>
      <c r="D480" s="26"/>
      <c r="E480" s="26"/>
      <c r="F480" s="26"/>
      <c r="G480" s="26"/>
      <c r="H480" s="26"/>
      <c r="I480" s="26"/>
    </row>
    <row r="481" spans="3:9" x14ac:dyDescent="0.25">
      <c r="C481" s="26"/>
      <c r="D481" s="26"/>
      <c r="E481" s="26"/>
      <c r="F481" s="26"/>
      <c r="G481" s="26"/>
      <c r="H481" s="26"/>
      <c r="I481" s="26"/>
    </row>
    <row r="482" spans="3:9" x14ac:dyDescent="0.25">
      <c r="C482" s="26"/>
      <c r="D482" s="26"/>
      <c r="E482" s="26"/>
      <c r="F482" s="26"/>
      <c r="G482" s="26"/>
      <c r="H482" s="26"/>
      <c r="I482" s="26"/>
    </row>
    <row r="483" spans="3:9" x14ac:dyDescent="0.25">
      <c r="C483" s="26"/>
      <c r="D483" s="26"/>
      <c r="E483" s="26"/>
      <c r="F483" s="26"/>
      <c r="G483" s="26"/>
      <c r="H483" s="26"/>
      <c r="I483" s="26"/>
    </row>
    <row r="484" spans="3:9" x14ac:dyDescent="0.25">
      <c r="C484" s="26"/>
      <c r="D484" s="26"/>
      <c r="E484" s="26"/>
      <c r="F484" s="26"/>
      <c r="G484" s="26"/>
      <c r="H484" s="26"/>
      <c r="I484" s="26"/>
    </row>
    <row r="485" spans="3:9" x14ac:dyDescent="0.25">
      <c r="C485" s="26"/>
      <c r="D485" s="26"/>
      <c r="E485" s="26"/>
      <c r="F485" s="26"/>
      <c r="G485" s="26"/>
      <c r="H485" s="26"/>
      <c r="I485" s="26"/>
    </row>
    <row r="486" spans="3:9" x14ac:dyDescent="0.25">
      <c r="C486" s="26"/>
      <c r="D486" s="26"/>
      <c r="E486" s="26"/>
      <c r="F486" s="26"/>
      <c r="G486" s="26"/>
      <c r="H486" s="26"/>
      <c r="I486" s="26"/>
    </row>
    <row r="487" spans="3:9" x14ac:dyDescent="0.25">
      <c r="C487" s="26"/>
      <c r="D487" s="26"/>
      <c r="E487" s="26"/>
      <c r="F487" s="26"/>
      <c r="G487" s="26"/>
      <c r="H487" s="26"/>
      <c r="I487" s="26"/>
    </row>
  </sheetData>
  <mergeCells count="7">
    <mergeCell ref="B7:C7"/>
    <mergeCell ref="D1:I3"/>
    <mergeCell ref="B4:D4"/>
    <mergeCell ref="E4:I4"/>
    <mergeCell ref="B5:D5"/>
    <mergeCell ref="E5:H5"/>
    <mergeCell ref="I5:I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&amp;L&amp;"Calibri,Regular"&amp;K184782&amp;F&amp;C&amp;"Calibri,Regular"&amp;K184782&amp;A&amp;R&amp;"Calibri,Regular"&amp;K184782&amp;P</oddFooter>
  </headerFooter>
  <rowBreaks count="1" manualBreakCount="1">
    <brk id="294" min="1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L385"/>
  <sheetViews>
    <sheetView showGridLines="0" zoomScaleNormal="100" workbookViewId="0">
      <pane ySplit="2295" topLeftCell="A71" activePane="bottomLeft"/>
      <selection activeCell="K281" sqref="K281"/>
      <selection pane="bottomLeft" activeCell="A82" sqref="A82"/>
    </sheetView>
  </sheetViews>
  <sheetFormatPr defaultColWidth="11.6640625" defaultRowHeight="15.75" x14ac:dyDescent="0.25"/>
  <cols>
    <col min="1" max="1" width="10.6640625" style="1" customWidth="1"/>
    <col min="2" max="2" width="10.44140625" style="1" customWidth="1"/>
    <col min="3" max="3" width="7.6640625" style="1" customWidth="1"/>
    <col min="4" max="5" width="6.5546875" style="1" customWidth="1"/>
    <col min="6" max="6" width="8.109375" style="1" customWidth="1"/>
    <col min="7" max="7" width="7.21875" style="1" customWidth="1"/>
    <col min="8" max="8" width="11.6640625" style="1"/>
    <col min="9" max="11" width="11.6640625" style="46"/>
    <col min="12" max="16384" width="11.6640625" style="1"/>
  </cols>
  <sheetData>
    <row r="1" spans="1:11" ht="21" customHeight="1" x14ac:dyDescent="0.25">
      <c r="B1" s="2"/>
      <c r="C1" s="196" t="s">
        <v>0</v>
      </c>
      <c r="D1" s="196" t="s">
        <v>1</v>
      </c>
      <c r="E1" s="196"/>
      <c r="F1" s="196"/>
      <c r="G1" s="196"/>
      <c r="H1" s="196"/>
      <c r="I1" s="3"/>
      <c r="J1" s="1"/>
      <c r="K1" s="1"/>
    </row>
    <row r="2" spans="1:11" ht="15" customHeight="1" x14ac:dyDescent="0.25">
      <c r="A2" s="2"/>
      <c r="B2" s="2"/>
      <c r="C2" s="196"/>
      <c r="D2" s="196"/>
      <c r="E2" s="196"/>
      <c r="F2" s="196"/>
      <c r="G2" s="196"/>
      <c r="H2" s="196"/>
      <c r="I2" s="3"/>
      <c r="J2" s="1"/>
      <c r="K2" s="1"/>
    </row>
    <row r="3" spans="1:11" ht="15" customHeight="1" thickBot="1" x14ac:dyDescent="0.3">
      <c r="A3" s="2"/>
      <c r="B3" s="2"/>
      <c r="C3" s="197"/>
      <c r="D3" s="197"/>
      <c r="E3" s="197"/>
      <c r="F3" s="197"/>
      <c r="G3" s="197"/>
      <c r="H3" s="197"/>
      <c r="I3" s="1"/>
      <c r="J3" s="1"/>
      <c r="K3" s="1"/>
    </row>
    <row r="4" spans="1:11" ht="17.25" customHeight="1" thickBot="1" x14ac:dyDescent="0.3">
      <c r="A4" s="198" t="s">
        <v>270</v>
      </c>
      <c r="B4" s="199"/>
      <c r="C4" s="200"/>
      <c r="D4" s="201" t="s">
        <v>271</v>
      </c>
      <c r="E4" s="202"/>
      <c r="F4" s="202"/>
      <c r="G4" s="202"/>
      <c r="H4" s="203"/>
      <c r="I4" s="1"/>
      <c r="J4" s="1"/>
      <c r="K4" s="1"/>
    </row>
    <row r="5" spans="1:11" ht="15" customHeight="1" thickBot="1" x14ac:dyDescent="0.3">
      <c r="A5" s="204" t="s">
        <v>4</v>
      </c>
      <c r="B5" s="205"/>
      <c r="C5" s="206"/>
      <c r="D5" s="207" t="s">
        <v>5</v>
      </c>
      <c r="E5" s="208"/>
      <c r="F5" s="208"/>
      <c r="G5" s="209"/>
      <c r="H5" s="210" t="s">
        <v>6</v>
      </c>
      <c r="I5" s="3"/>
      <c r="J5" s="1"/>
      <c r="K5" s="1"/>
    </row>
    <row r="6" spans="1:11" ht="15.75" customHeight="1" thickBot="1" x14ac:dyDescent="0.3">
      <c r="A6" s="4" t="s">
        <v>7</v>
      </c>
      <c r="B6" s="5" t="s">
        <v>8</v>
      </c>
      <c r="C6" s="5" t="s">
        <v>9</v>
      </c>
      <c r="D6" s="5" t="s">
        <v>10</v>
      </c>
      <c r="E6" s="5" t="s">
        <v>11</v>
      </c>
      <c r="F6" s="5" t="s">
        <v>12</v>
      </c>
      <c r="G6" s="5" t="s">
        <v>13</v>
      </c>
      <c r="H6" s="211"/>
      <c r="I6" s="1"/>
      <c r="J6" s="1"/>
      <c r="K6" s="1"/>
    </row>
    <row r="7" spans="1:11" ht="15.75" customHeight="1" thickBot="1" x14ac:dyDescent="0.3">
      <c r="A7" s="212" t="s">
        <v>14</v>
      </c>
      <c r="B7" s="213"/>
      <c r="C7" s="29"/>
      <c r="D7" s="29"/>
      <c r="E7" s="29"/>
      <c r="F7" s="29"/>
      <c r="G7" s="29"/>
      <c r="H7" s="30"/>
      <c r="I7" s="1"/>
      <c r="J7" s="1"/>
      <c r="K7" s="1"/>
    </row>
    <row r="8" spans="1:11" x14ac:dyDescent="0.25">
      <c r="A8" s="31" t="s">
        <v>232</v>
      </c>
      <c r="B8" s="32">
        <f>[2]ÓLEOS!$F$18</f>
        <v>2.0892000000000004</v>
      </c>
      <c r="C8" s="33">
        <f>100*B8/$B$8</f>
        <v>100</v>
      </c>
      <c r="D8" s="14"/>
      <c r="E8" s="14"/>
      <c r="F8" s="14"/>
      <c r="G8" s="34"/>
      <c r="H8" s="35">
        <f>$B$81/B8</f>
        <v>1.6738464484013016</v>
      </c>
      <c r="I8" s="36"/>
      <c r="J8" s="36"/>
      <c r="K8" s="36"/>
    </row>
    <row r="9" spans="1:11" x14ac:dyDescent="0.25">
      <c r="A9" s="37" t="s">
        <v>233</v>
      </c>
      <c r="B9" s="38">
        <f>[3]ÓLEOS!$F$18</f>
        <v>2.0456000000000003</v>
      </c>
      <c r="C9" s="39">
        <f t="shared" ref="C9:C42" si="0">100*B9/$B$8</f>
        <v>97.91307677579934</v>
      </c>
      <c r="D9" s="17">
        <f t="shared" ref="D9:D41" si="1">100*((B9/B8)-1)</f>
        <v>-2.0869232242006541</v>
      </c>
      <c r="E9" s="18">
        <f>100*((B9/$B$8)-1)</f>
        <v>-2.0869232242006541</v>
      </c>
      <c r="F9" s="17"/>
      <c r="G9" s="40"/>
      <c r="H9" s="41">
        <f>$B$81/B9</f>
        <v>1.7095228783730931</v>
      </c>
      <c r="I9" s="36"/>
      <c r="J9" s="36"/>
      <c r="K9" s="36"/>
    </row>
    <row r="10" spans="1:11" x14ac:dyDescent="0.25">
      <c r="A10" s="37" t="s">
        <v>234</v>
      </c>
      <c r="B10" s="38">
        <f>[4]ÓLEOS!$F$18</f>
        <v>2.069</v>
      </c>
      <c r="C10" s="39">
        <f t="shared" si="0"/>
        <v>99.033122726402439</v>
      </c>
      <c r="D10" s="17">
        <f t="shared" si="1"/>
        <v>1.1439186546734259</v>
      </c>
      <c r="E10" s="18">
        <f t="shared" ref="E10:E17" si="2">100*((B10/$B$8)-1)</f>
        <v>-0.96687727359756614</v>
      </c>
      <c r="F10" s="17"/>
      <c r="G10" s="40"/>
      <c r="H10" s="41">
        <f t="shared" ref="H10:H73" si="3">$B$81/B10</f>
        <v>1.6901884968583856</v>
      </c>
      <c r="I10" s="36"/>
      <c r="J10" s="36"/>
      <c r="K10" s="36"/>
    </row>
    <row r="11" spans="1:11" x14ac:dyDescent="0.25">
      <c r="A11" s="37" t="s">
        <v>235</v>
      </c>
      <c r="B11" s="38">
        <f>[5]ÓLEOS!$F$18</f>
        <v>2.0751999999999997</v>
      </c>
      <c r="C11" s="39">
        <f t="shared" si="0"/>
        <v>99.329887038100679</v>
      </c>
      <c r="D11" s="17">
        <f t="shared" si="1"/>
        <v>0.29966167230544016</v>
      </c>
      <c r="E11" s="18">
        <f t="shared" si="2"/>
        <v>-0.67011296189932734</v>
      </c>
      <c r="F11" s="17"/>
      <c r="G11" s="40"/>
      <c r="H11" s="41">
        <f t="shared" si="3"/>
        <v>1.6851387818041637</v>
      </c>
      <c r="I11" s="36"/>
      <c r="J11" s="36"/>
      <c r="K11" s="36"/>
    </row>
    <row r="12" spans="1:11" x14ac:dyDescent="0.25">
      <c r="A12" s="37" t="s">
        <v>236</v>
      </c>
      <c r="B12" s="38">
        <f>[6]ÓLEOS!$F$18</f>
        <v>2.1390000000000002</v>
      </c>
      <c r="C12" s="39">
        <f t="shared" si="0"/>
        <v>102.3836875358989</v>
      </c>
      <c r="D12" s="17">
        <f t="shared" si="1"/>
        <v>3.0744024672320958</v>
      </c>
      <c r="E12" s="18">
        <f t="shared" si="2"/>
        <v>2.383687535898904</v>
      </c>
      <c r="F12" s="17"/>
      <c r="G12" s="40"/>
      <c r="H12" s="41">
        <f t="shared" si="3"/>
        <v>1.6348761103319305</v>
      </c>
      <c r="I12" s="36"/>
      <c r="J12" s="36"/>
      <c r="K12" s="36"/>
    </row>
    <row r="13" spans="1:11" x14ac:dyDescent="0.25">
      <c r="A13" s="37" t="s">
        <v>237</v>
      </c>
      <c r="B13" s="38">
        <f>[7]ÓLEOS!$F$18</f>
        <v>2.1471999999999993</v>
      </c>
      <c r="C13" s="39">
        <f t="shared" si="0"/>
        <v>102.77618227072558</v>
      </c>
      <c r="D13" s="17">
        <f t="shared" si="1"/>
        <v>0.38335670874236616</v>
      </c>
      <c r="E13" s="18">
        <f t="shared" si="2"/>
        <v>2.7761822707255801</v>
      </c>
      <c r="F13" s="17"/>
      <c r="G13" s="40"/>
      <c r="H13" s="41">
        <f t="shared" si="3"/>
        <v>1.6286326378539497</v>
      </c>
      <c r="I13" s="36"/>
      <c r="J13" s="36"/>
      <c r="K13" s="36"/>
    </row>
    <row r="14" spans="1:11" x14ac:dyDescent="0.25">
      <c r="A14" s="37" t="s">
        <v>238</v>
      </c>
      <c r="B14" s="38">
        <f>[8]ÓLEOS!$F$18</f>
        <v>2.1471999999999993</v>
      </c>
      <c r="C14" s="39">
        <f t="shared" si="0"/>
        <v>102.77618227072558</v>
      </c>
      <c r="D14" s="17">
        <f t="shared" si="1"/>
        <v>0</v>
      </c>
      <c r="E14" s="18">
        <f t="shared" si="2"/>
        <v>2.7761822707255801</v>
      </c>
      <c r="F14" s="17"/>
      <c r="G14" s="40"/>
      <c r="H14" s="41">
        <f t="shared" si="3"/>
        <v>1.6286326378539497</v>
      </c>
      <c r="I14" s="36"/>
      <c r="J14" s="36"/>
      <c r="K14" s="36"/>
    </row>
    <row r="15" spans="1:11" x14ac:dyDescent="0.25">
      <c r="A15" s="37" t="s">
        <v>239</v>
      </c>
      <c r="B15" s="38">
        <f>[9]ÓLEOS!$F$18</f>
        <v>2.1772</v>
      </c>
      <c r="C15" s="39">
        <f t="shared" si="0"/>
        <v>104.21213861765267</v>
      </c>
      <c r="D15" s="17">
        <f t="shared" si="1"/>
        <v>1.3971684053651678</v>
      </c>
      <c r="E15" s="18">
        <f t="shared" si="2"/>
        <v>4.212138617652661</v>
      </c>
      <c r="F15" s="17"/>
      <c r="G15" s="40"/>
      <c r="H15" s="41">
        <f t="shared" si="3"/>
        <v>1.6061914385449201</v>
      </c>
      <c r="I15" s="36"/>
      <c r="J15" s="36"/>
      <c r="K15" s="36"/>
    </row>
    <row r="16" spans="1:11" x14ac:dyDescent="0.25">
      <c r="A16" s="37" t="s">
        <v>240</v>
      </c>
      <c r="B16" s="38">
        <f>[10]ÓLEOS!$F$18</f>
        <v>2.1970000000000001</v>
      </c>
      <c r="C16" s="39">
        <f t="shared" si="0"/>
        <v>105.15986980662453</v>
      </c>
      <c r="D16" s="17">
        <f t="shared" si="1"/>
        <v>0.90942494947638952</v>
      </c>
      <c r="E16" s="18">
        <f t="shared" si="2"/>
        <v>5.1598698066245285</v>
      </c>
      <c r="F16" s="17"/>
      <c r="G16" s="40"/>
      <c r="H16" s="41">
        <f t="shared" si="3"/>
        <v>1.5917159763313609</v>
      </c>
      <c r="I16" s="42"/>
      <c r="J16" s="36"/>
      <c r="K16" s="36"/>
    </row>
    <row r="17" spans="1:11" x14ac:dyDescent="0.25">
      <c r="A17" s="37" t="s">
        <v>241</v>
      </c>
      <c r="B17" s="38">
        <f>[11]ÓLEOS!$F$18</f>
        <v>2.1991999999999998</v>
      </c>
      <c r="C17" s="39">
        <f t="shared" si="0"/>
        <v>105.26517327206584</v>
      </c>
      <c r="D17" s="17">
        <f t="shared" si="1"/>
        <v>0.10013654984069031</v>
      </c>
      <c r="E17" s="18">
        <f t="shared" si="2"/>
        <v>5.2651732720658373</v>
      </c>
      <c r="F17" s="17"/>
      <c r="G17" s="40"/>
      <c r="H17" s="41">
        <f t="shared" si="3"/>
        <v>1.5901236813386688</v>
      </c>
      <c r="I17" s="42"/>
      <c r="J17" s="36"/>
      <c r="K17" s="36"/>
    </row>
    <row r="18" spans="1:11" x14ac:dyDescent="0.25">
      <c r="A18" s="37" t="s">
        <v>242</v>
      </c>
      <c r="B18" s="38">
        <f>[12]ÓLEOS!$F$18</f>
        <v>2.2429999999999999</v>
      </c>
      <c r="C18" s="39">
        <f t="shared" si="0"/>
        <v>107.36166953857933</v>
      </c>
      <c r="D18" s="17">
        <f t="shared" si="1"/>
        <v>1.9916333212077086</v>
      </c>
      <c r="E18" s="18">
        <f t="shared" ref="E18:E29" si="4">100*((B18/$B$17)-1)</f>
        <v>1.9916333212077086</v>
      </c>
      <c r="F18" s="17"/>
      <c r="G18" s="40"/>
      <c r="H18" s="41">
        <f t="shared" si="3"/>
        <v>1.5590726705305396</v>
      </c>
      <c r="I18" s="42"/>
      <c r="J18" s="36"/>
      <c r="K18" s="36"/>
    </row>
    <row r="19" spans="1:11" x14ac:dyDescent="0.25">
      <c r="A19" s="37" t="s">
        <v>243</v>
      </c>
      <c r="B19" s="38">
        <f>[13]ÓLEOS!$F$18</f>
        <v>2.3359999999999999</v>
      </c>
      <c r="C19" s="39">
        <f t="shared" si="0"/>
        <v>111.81313421405321</v>
      </c>
      <c r="D19" s="17">
        <f t="shared" si="1"/>
        <v>4.1462327240303187</v>
      </c>
      <c r="E19" s="18">
        <f t="shared" si="4"/>
        <v>6.2204437977446458</v>
      </c>
      <c r="F19" s="17"/>
      <c r="G19" s="40"/>
      <c r="H19" s="41">
        <f t="shared" si="3"/>
        <v>1.4970034246575343</v>
      </c>
      <c r="I19" s="42"/>
      <c r="J19" s="36"/>
      <c r="K19" s="36"/>
    </row>
    <row r="20" spans="1:11" x14ac:dyDescent="0.25">
      <c r="A20" s="37" t="s">
        <v>244</v>
      </c>
      <c r="B20" s="38">
        <f>[14]ÓLEOS!$F$18</f>
        <v>2.4119999999999999</v>
      </c>
      <c r="C20" s="39">
        <f t="shared" si="0"/>
        <v>115.45089029293507</v>
      </c>
      <c r="D20" s="17">
        <f t="shared" si="1"/>
        <v>3.2534246575342429</v>
      </c>
      <c r="E20" s="18">
        <f t="shared" si="4"/>
        <v>9.676245907602766</v>
      </c>
      <c r="F20" s="43">
        <f t="shared" ref="F20:F41" si="5">100*((B20/B8)-1)</f>
        <v>15.450890292935071</v>
      </c>
      <c r="G20" s="20"/>
      <c r="H20" s="41">
        <f t="shared" si="3"/>
        <v>1.4498341625207296</v>
      </c>
      <c r="I20" s="42"/>
      <c r="J20" s="36"/>
      <c r="K20" s="36"/>
    </row>
    <row r="21" spans="1:11" x14ac:dyDescent="0.25">
      <c r="A21" s="37" t="s">
        <v>245</v>
      </c>
      <c r="B21" s="38">
        <f>[15]ÓLEOS!$F$18</f>
        <v>2.423</v>
      </c>
      <c r="C21" s="39">
        <f t="shared" si="0"/>
        <v>115.97740762014166</v>
      </c>
      <c r="D21" s="17">
        <f t="shared" si="1"/>
        <v>0.4560530679933672</v>
      </c>
      <c r="E21" s="18">
        <f t="shared" si="4"/>
        <v>10.176427791924336</v>
      </c>
      <c r="F21" s="43">
        <f t="shared" si="5"/>
        <v>18.449354712553756</v>
      </c>
      <c r="G21" s="20"/>
      <c r="H21" s="41">
        <f t="shared" si="3"/>
        <v>1.4432521667354519</v>
      </c>
      <c r="I21" s="42"/>
      <c r="J21" s="36"/>
      <c r="K21" s="36"/>
    </row>
    <row r="22" spans="1:11" x14ac:dyDescent="0.25">
      <c r="A22" s="37" t="s">
        <v>246</v>
      </c>
      <c r="B22" s="38">
        <f>[16]ÓLEOS!$F$18</f>
        <v>2.431</v>
      </c>
      <c r="C22" s="39">
        <f t="shared" si="0"/>
        <v>116.36032931265554</v>
      </c>
      <c r="D22" s="17">
        <f t="shared" si="1"/>
        <v>0.33016921172099867</v>
      </c>
      <c r="E22" s="18">
        <f t="shared" si="4"/>
        <v>10.540196435067317</v>
      </c>
      <c r="F22" s="43">
        <f t="shared" si="5"/>
        <v>17.496375060415659</v>
      </c>
      <c r="G22" s="20"/>
      <c r="H22" s="41">
        <f t="shared" si="3"/>
        <v>1.4385026737967914</v>
      </c>
      <c r="I22" s="42"/>
      <c r="J22" s="36"/>
      <c r="K22" s="36"/>
    </row>
    <row r="23" spans="1:11" x14ac:dyDescent="0.25">
      <c r="A23" s="37" t="s">
        <v>247</v>
      </c>
      <c r="B23" s="38">
        <f>[17]ÓLEOS!$F$18</f>
        <v>2.4350000000000001</v>
      </c>
      <c r="C23" s="39">
        <f t="shared" si="0"/>
        <v>116.55179015891248</v>
      </c>
      <c r="D23" s="17">
        <f t="shared" si="1"/>
        <v>0.16454134101193674</v>
      </c>
      <c r="E23" s="18">
        <f t="shared" si="4"/>
        <v>10.722080756638785</v>
      </c>
      <c r="F23" s="43">
        <f t="shared" si="5"/>
        <v>17.338087895142664</v>
      </c>
      <c r="G23" s="20"/>
      <c r="H23" s="41">
        <f t="shared" si="3"/>
        <v>1.4361396303901437</v>
      </c>
      <c r="I23" s="36"/>
      <c r="J23" s="36"/>
      <c r="K23" s="36"/>
    </row>
    <row r="24" spans="1:11" x14ac:dyDescent="0.25">
      <c r="A24" s="37" t="s">
        <v>248</v>
      </c>
      <c r="B24" s="38">
        <f>[18]ÓLEOS!$F$18</f>
        <v>2.4409999999999998</v>
      </c>
      <c r="C24" s="39">
        <f t="shared" si="0"/>
        <v>116.83898142829788</v>
      </c>
      <c r="D24" s="17">
        <f t="shared" si="1"/>
        <v>0.24640657084187279</v>
      </c>
      <c r="E24" s="18">
        <f t="shared" si="4"/>
        <v>10.99490723899601</v>
      </c>
      <c r="F24" s="43">
        <f t="shared" si="5"/>
        <v>14.118747078073856</v>
      </c>
      <c r="G24" s="20"/>
      <c r="H24" s="41">
        <f t="shared" si="3"/>
        <v>1.4326095862351496</v>
      </c>
      <c r="I24" s="36"/>
      <c r="J24" s="36"/>
      <c r="K24" s="36"/>
    </row>
    <row r="25" spans="1:11" x14ac:dyDescent="0.25">
      <c r="A25" s="37" t="s">
        <v>249</v>
      </c>
      <c r="B25" s="38">
        <f>[19]ÓLEOS!$F$18</f>
        <v>2.4329999999999998</v>
      </c>
      <c r="C25" s="39">
        <f t="shared" si="0"/>
        <v>116.456059735784</v>
      </c>
      <c r="D25" s="17">
        <f t="shared" si="1"/>
        <v>-0.32773453502662475</v>
      </c>
      <c r="E25" s="18">
        <f t="shared" si="4"/>
        <v>10.631138595853029</v>
      </c>
      <c r="F25" s="43">
        <f t="shared" si="5"/>
        <v>13.310357675111796</v>
      </c>
      <c r="G25" s="20"/>
      <c r="H25" s="41">
        <f t="shared" si="3"/>
        <v>1.4373201808466913</v>
      </c>
      <c r="I25" s="36"/>
      <c r="J25" s="36"/>
      <c r="K25" s="36"/>
    </row>
    <row r="26" spans="1:11" x14ac:dyDescent="0.25">
      <c r="A26" s="37" t="s">
        <v>250</v>
      </c>
      <c r="B26" s="38">
        <f>[20]ÓLEOS!$F$18</f>
        <v>2.4319999999999999</v>
      </c>
      <c r="C26" s="39">
        <f t="shared" si="0"/>
        <v>116.40819452421977</v>
      </c>
      <c r="D26" s="17">
        <f t="shared" si="1"/>
        <v>-4.110152075625928E-2</v>
      </c>
      <c r="E26" s="18">
        <f t="shared" si="4"/>
        <v>10.585667515460173</v>
      </c>
      <c r="F26" s="43">
        <f t="shared" si="5"/>
        <v>13.26378539493296</v>
      </c>
      <c r="G26" s="20"/>
      <c r="H26" s="41">
        <f t="shared" si="3"/>
        <v>1.4379111842105263</v>
      </c>
      <c r="I26" s="36"/>
      <c r="J26" s="36"/>
      <c r="K26" s="36"/>
    </row>
    <row r="27" spans="1:11" x14ac:dyDescent="0.25">
      <c r="A27" s="37" t="s">
        <v>251</v>
      </c>
      <c r="B27" s="38">
        <f>[21]ÓLEOS!$F$18</f>
        <v>2.4300000000000002</v>
      </c>
      <c r="C27" s="39">
        <f t="shared" si="0"/>
        <v>116.31246410109132</v>
      </c>
      <c r="D27" s="17">
        <f t="shared" si="1"/>
        <v>-8.2236842105254393E-2</v>
      </c>
      <c r="E27" s="18">
        <f t="shared" si="4"/>
        <v>10.49472535467444</v>
      </c>
      <c r="F27" s="43">
        <f t="shared" si="5"/>
        <v>11.611243799375348</v>
      </c>
      <c r="G27" s="20"/>
      <c r="H27" s="41">
        <f t="shared" si="3"/>
        <v>1.4390946502057611</v>
      </c>
      <c r="I27" s="36"/>
      <c r="J27" s="36"/>
      <c r="K27" s="36"/>
    </row>
    <row r="28" spans="1:11" x14ac:dyDescent="0.25">
      <c r="A28" s="37" t="s">
        <v>252</v>
      </c>
      <c r="B28" s="38">
        <f>[22]ÓLEOS!$F$18</f>
        <v>2.4289999999999998</v>
      </c>
      <c r="C28" s="39">
        <f t="shared" si="0"/>
        <v>116.26459888952706</v>
      </c>
      <c r="D28" s="17">
        <f t="shared" si="1"/>
        <v>-4.1152263374499842E-2</v>
      </c>
      <c r="E28" s="18">
        <f t="shared" si="4"/>
        <v>10.449254274281561</v>
      </c>
      <c r="F28" s="43">
        <f t="shared" si="5"/>
        <v>10.559854346836595</v>
      </c>
      <c r="G28" s="20"/>
      <c r="H28" s="41">
        <f t="shared" si="3"/>
        <v>1.4396871140386991</v>
      </c>
      <c r="I28" s="36"/>
      <c r="J28" s="36"/>
      <c r="K28" s="36"/>
    </row>
    <row r="29" spans="1:11" x14ac:dyDescent="0.25">
      <c r="A29" s="37" t="s">
        <v>253</v>
      </c>
      <c r="B29" s="38">
        <f>[23]ÓLEOS!$F$18</f>
        <v>2.5790000000000002</v>
      </c>
      <c r="C29" s="39">
        <f t="shared" si="0"/>
        <v>123.44438062416235</v>
      </c>
      <c r="D29" s="17">
        <f t="shared" si="1"/>
        <v>6.1753808151502776</v>
      </c>
      <c r="E29" s="18">
        <f t="shared" si="4"/>
        <v>17.269916333212088</v>
      </c>
      <c r="F29" s="43">
        <f t="shared" si="5"/>
        <v>17.269916333212088</v>
      </c>
      <c r="G29" s="20"/>
      <c r="H29" s="41">
        <f t="shared" si="3"/>
        <v>1.3559519193485845</v>
      </c>
      <c r="I29" s="36"/>
      <c r="J29" s="36"/>
      <c r="K29" s="36"/>
    </row>
    <row r="30" spans="1:11" x14ac:dyDescent="0.25">
      <c r="A30" s="37" t="s">
        <v>254</v>
      </c>
      <c r="B30" s="38">
        <f>[24]ÓLEOS!$F$18</f>
        <v>2.59</v>
      </c>
      <c r="C30" s="39">
        <f t="shared" si="0"/>
        <v>123.97089795136893</v>
      </c>
      <c r="D30" s="17">
        <f t="shared" si="1"/>
        <v>0.42652190771614862</v>
      </c>
      <c r="E30" s="18">
        <f t="shared" ref="E30:E41" si="6">100*((B30/$B$29)-1)</f>
        <v>0.42652190771614862</v>
      </c>
      <c r="F30" s="43">
        <f t="shared" si="5"/>
        <v>15.470352206865812</v>
      </c>
      <c r="G30" s="20"/>
      <c r="H30" s="41">
        <f t="shared" si="3"/>
        <v>1.3501930501930501</v>
      </c>
      <c r="I30" s="42"/>
      <c r="J30" s="36"/>
      <c r="K30" s="36"/>
    </row>
    <row r="31" spans="1:11" x14ac:dyDescent="0.25">
      <c r="A31" s="37" t="s">
        <v>255</v>
      </c>
      <c r="B31" s="38">
        <f>[25]ÓLEOS!$F$18</f>
        <v>2.593</v>
      </c>
      <c r="C31" s="39">
        <f t="shared" si="0"/>
        <v>124.11449358606163</v>
      </c>
      <c r="D31" s="17">
        <f t="shared" si="1"/>
        <v>0.11583011583011782</v>
      </c>
      <c r="E31" s="18">
        <f t="shared" si="6"/>
        <v>0.54284606436603156</v>
      </c>
      <c r="F31" s="43">
        <f t="shared" si="5"/>
        <v>11.001712328767121</v>
      </c>
      <c r="G31" s="20"/>
      <c r="H31" s="41">
        <f t="shared" si="3"/>
        <v>1.348630929425376</v>
      </c>
      <c r="I31" s="36"/>
      <c r="J31" s="36"/>
      <c r="K31" s="36"/>
    </row>
    <row r="32" spans="1:11" x14ac:dyDescent="0.25">
      <c r="A32" s="37" t="s">
        <v>256</v>
      </c>
      <c r="B32" s="38">
        <f>[26]ÓLEOS!$F$18</f>
        <v>2.6</v>
      </c>
      <c r="C32" s="39">
        <f t="shared" si="0"/>
        <v>124.44955006701127</v>
      </c>
      <c r="D32" s="17">
        <f t="shared" si="1"/>
        <v>0.26995757809487042</v>
      </c>
      <c r="E32" s="18">
        <f t="shared" si="6"/>
        <v>0.81426909654904733</v>
      </c>
      <c r="F32" s="43">
        <f t="shared" si="5"/>
        <v>7.7943615257048071</v>
      </c>
      <c r="G32" s="20">
        <f t="shared" ref="G32:G43" si="7">100*((C32/C8)-1)</f>
        <v>24.449550067011284</v>
      </c>
      <c r="H32" s="41">
        <f t="shared" si="3"/>
        <v>1.345</v>
      </c>
      <c r="I32" s="36"/>
      <c r="J32" s="36"/>
      <c r="K32" s="36"/>
    </row>
    <row r="33" spans="1:11" x14ac:dyDescent="0.25">
      <c r="A33" s="37" t="s">
        <v>257</v>
      </c>
      <c r="B33" s="38">
        <f>[27]ÓLEOS!$F$18</f>
        <v>2.6059999999999994</v>
      </c>
      <c r="C33" s="39">
        <f t="shared" si="0"/>
        <v>124.73674133639666</v>
      </c>
      <c r="D33" s="17">
        <f t="shared" si="1"/>
        <v>0.23076923076921219</v>
      </c>
      <c r="E33" s="18">
        <f t="shared" si="6"/>
        <v>1.0469174098487466</v>
      </c>
      <c r="F33" s="43">
        <f t="shared" si="5"/>
        <v>7.5526207181180194</v>
      </c>
      <c r="G33" s="20">
        <f t="shared" si="7"/>
        <v>27.395385217051206</v>
      </c>
      <c r="H33" s="41">
        <f t="shared" si="3"/>
        <v>1.3419033000767462</v>
      </c>
      <c r="I33" s="36"/>
      <c r="J33" s="36"/>
      <c r="K33" s="36"/>
    </row>
    <row r="34" spans="1:11" x14ac:dyDescent="0.25">
      <c r="A34" s="37" t="s">
        <v>258</v>
      </c>
      <c r="B34" s="38">
        <f>[28]ÓLEOS!$F$18</f>
        <v>2.6080000000000001</v>
      </c>
      <c r="C34" s="39">
        <f t="shared" si="0"/>
        <v>124.83247175952516</v>
      </c>
      <c r="D34" s="17">
        <f t="shared" si="1"/>
        <v>7.6745970836555877E-2</v>
      </c>
      <c r="E34" s="18">
        <f t="shared" si="6"/>
        <v>1.1244668476153574</v>
      </c>
      <c r="F34" s="43">
        <f t="shared" si="5"/>
        <v>7.2809543397778675</v>
      </c>
      <c r="G34" s="20">
        <f t="shared" si="7"/>
        <v>26.051232479458687</v>
      </c>
      <c r="H34" s="41">
        <f t="shared" si="3"/>
        <v>1.3408742331288344</v>
      </c>
      <c r="I34" s="36"/>
      <c r="J34" s="36"/>
      <c r="K34" s="36"/>
    </row>
    <row r="35" spans="1:11" x14ac:dyDescent="0.25">
      <c r="A35" s="37" t="s">
        <v>259</v>
      </c>
      <c r="B35" s="38">
        <f>[29]ÓLEOS!$F$18</f>
        <v>2.61</v>
      </c>
      <c r="C35" s="39">
        <f t="shared" si="0"/>
        <v>124.92820218265362</v>
      </c>
      <c r="D35" s="17">
        <f t="shared" si="1"/>
        <v>7.6687116564411184E-2</v>
      </c>
      <c r="E35" s="18">
        <f t="shared" si="6"/>
        <v>1.2020162853819238</v>
      </c>
      <c r="F35" s="43">
        <f t="shared" si="5"/>
        <v>7.186858316221767</v>
      </c>
      <c r="G35" s="20">
        <f t="shared" si="7"/>
        <v>25.771010023130316</v>
      </c>
      <c r="H35" s="41">
        <f t="shared" si="3"/>
        <v>1.3398467432950192</v>
      </c>
      <c r="I35" s="36"/>
      <c r="J35" s="36"/>
      <c r="K35" s="36"/>
    </row>
    <row r="36" spans="1:11" x14ac:dyDescent="0.25">
      <c r="A36" s="37" t="s">
        <v>260</v>
      </c>
      <c r="B36" s="38">
        <f>[30]ÓLEOS!$F$18</f>
        <v>2.61</v>
      </c>
      <c r="C36" s="39">
        <f t="shared" si="0"/>
        <v>124.92820218265362</v>
      </c>
      <c r="D36" s="17">
        <f t="shared" si="1"/>
        <v>0</v>
      </c>
      <c r="E36" s="18">
        <f t="shared" si="6"/>
        <v>1.2020162853819238</v>
      </c>
      <c r="F36" s="43">
        <f t="shared" si="5"/>
        <v>6.923392052437527</v>
      </c>
      <c r="G36" s="20">
        <f t="shared" si="7"/>
        <v>22.019635343618503</v>
      </c>
      <c r="H36" s="41">
        <f t="shared" si="3"/>
        <v>1.3398467432950192</v>
      </c>
      <c r="I36" s="36"/>
      <c r="J36" s="36"/>
      <c r="K36" s="36"/>
    </row>
    <row r="37" spans="1:11" x14ac:dyDescent="0.25">
      <c r="A37" s="37" t="s">
        <v>261</v>
      </c>
      <c r="B37" s="38">
        <f>[31]ÓLEOS!$F$18</f>
        <v>2.6380000000000003</v>
      </c>
      <c r="C37" s="39">
        <f t="shared" si="0"/>
        <v>126.26842810645221</v>
      </c>
      <c r="D37" s="17">
        <f t="shared" si="1"/>
        <v>1.0727969348659272</v>
      </c>
      <c r="E37" s="18">
        <f t="shared" si="6"/>
        <v>2.2877084141140092</v>
      </c>
      <c r="F37" s="43">
        <f t="shared" si="5"/>
        <v>8.425811755034962</v>
      </c>
      <c r="G37" s="20">
        <f t="shared" si="7"/>
        <v>22.857675111773503</v>
      </c>
      <c r="H37" s="41">
        <f t="shared" si="3"/>
        <v>1.3256254738438209</v>
      </c>
      <c r="I37" s="36"/>
      <c r="J37" s="36"/>
      <c r="K37" s="36"/>
    </row>
    <row r="38" spans="1:11" x14ac:dyDescent="0.25">
      <c r="A38" s="37" t="s">
        <v>262</v>
      </c>
      <c r="B38" s="38">
        <f>[32]ÓLEOS!$F$18</f>
        <v>2.64</v>
      </c>
      <c r="C38" s="39">
        <f t="shared" si="0"/>
        <v>126.36415852958068</v>
      </c>
      <c r="D38" s="17">
        <f t="shared" si="1"/>
        <v>7.5815011372237784E-2</v>
      </c>
      <c r="E38" s="18">
        <f t="shared" si="6"/>
        <v>2.3652578518805756</v>
      </c>
      <c r="F38" s="43">
        <f t="shared" si="5"/>
        <v>8.5526315789473664</v>
      </c>
      <c r="G38" s="20">
        <f t="shared" si="7"/>
        <v>22.950819672131196</v>
      </c>
      <c r="H38" s="41">
        <f t="shared" si="3"/>
        <v>1.324621212121212</v>
      </c>
      <c r="I38" s="36"/>
      <c r="J38" s="36"/>
      <c r="K38" s="36"/>
    </row>
    <row r="39" spans="1:11" x14ac:dyDescent="0.25">
      <c r="A39" s="37" t="s">
        <v>263</v>
      </c>
      <c r="B39" s="38">
        <f>[33]ÓLEOS!$F$18</f>
        <v>2.64</v>
      </c>
      <c r="C39" s="39">
        <f t="shared" si="0"/>
        <v>126.36415852958068</v>
      </c>
      <c r="D39" s="17">
        <f t="shared" si="1"/>
        <v>0</v>
      </c>
      <c r="E39" s="18">
        <f t="shared" si="6"/>
        <v>2.3652578518805756</v>
      </c>
      <c r="F39" s="43">
        <f t="shared" si="5"/>
        <v>8.6419753086419693</v>
      </c>
      <c r="G39" s="20">
        <f t="shared" si="7"/>
        <v>21.256659930185549</v>
      </c>
      <c r="H39" s="41">
        <f t="shared" si="3"/>
        <v>1.324621212121212</v>
      </c>
      <c r="I39" s="36"/>
      <c r="J39" s="36"/>
      <c r="K39" s="36"/>
    </row>
    <row r="40" spans="1:11" x14ac:dyDescent="0.25">
      <c r="A40" s="37" t="s">
        <v>264</v>
      </c>
      <c r="B40" s="38">
        <f>[34]ÓLEOS!$F$18</f>
        <v>2.7510000000000003</v>
      </c>
      <c r="C40" s="39">
        <f t="shared" si="0"/>
        <v>131.67719701321079</v>
      </c>
      <c r="D40" s="17">
        <f t="shared" si="1"/>
        <v>4.2045454545454719</v>
      </c>
      <c r="E40" s="18">
        <f t="shared" si="6"/>
        <v>6.6692516479255559</v>
      </c>
      <c r="F40" s="43">
        <f t="shared" si="5"/>
        <v>13.25648414985594</v>
      </c>
      <c r="G40" s="20">
        <f t="shared" si="7"/>
        <v>25.216203914428782</v>
      </c>
      <c r="H40" s="41">
        <f t="shared" si="3"/>
        <v>1.2711741185023626</v>
      </c>
      <c r="I40" s="36"/>
      <c r="J40" s="36"/>
      <c r="K40" s="36"/>
    </row>
    <row r="41" spans="1:11" x14ac:dyDescent="0.25">
      <c r="A41" s="37" t="s">
        <v>265</v>
      </c>
      <c r="B41" s="38">
        <f>[35]ÓLEOS!$F$18</f>
        <v>2.7570000000000006</v>
      </c>
      <c r="C41" s="39">
        <f t="shared" si="0"/>
        <v>131.96438828259622</v>
      </c>
      <c r="D41" s="17">
        <f t="shared" si="1"/>
        <v>0.21810250817884125</v>
      </c>
      <c r="E41" s="18">
        <f t="shared" si="6"/>
        <v>6.9018999612252996</v>
      </c>
      <c r="F41" s="43">
        <f t="shared" si="5"/>
        <v>6.9018999612252996</v>
      </c>
      <c r="G41" s="20">
        <f t="shared" si="7"/>
        <v>25.363768643143004</v>
      </c>
      <c r="H41" s="41">
        <f t="shared" si="3"/>
        <v>1.2684076895175913</v>
      </c>
      <c r="I41" s="36"/>
      <c r="J41" s="36"/>
      <c r="K41" s="36"/>
    </row>
    <row r="42" spans="1:11" x14ac:dyDescent="0.25">
      <c r="A42" s="37" t="s">
        <v>266</v>
      </c>
      <c r="B42" s="38">
        <f>[36]ÓLEOS!$F$18</f>
        <v>2.7669999999999999</v>
      </c>
      <c r="C42" s="39">
        <f t="shared" si="0"/>
        <v>132.44304039823854</v>
      </c>
      <c r="D42" s="17">
        <f t="shared" ref="D42:D57" si="8">100*((B42/B41)-1)</f>
        <v>0.36271309394266815</v>
      </c>
      <c r="E42" s="18">
        <f t="shared" ref="E42:E57" si="9">100*((B42/$B$41)-1)</f>
        <v>0.36271309394266815</v>
      </c>
      <c r="F42" s="43">
        <f t="shared" ref="F42:F57" si="10">100*((B42/B30)-1)</f>
        <v>6.8339768339768403</v>
      </c>
      <c r="G42" s="20">
        <f t="shared" si="7"/>
        <v>23.361569326794474</v>
      </c>
      <c r="H42" s="41">
        <f t="shared" si="3"/>
        <v>1.2638236357065413</v>
      </c>
      <c r="I42" s="36"/>
      <c r="J42" s="36"/>
      <c r="K42" s="36"/>
    </row>
    <row r="43" spans="1:11" x14ac:dyDescent="0.25">
      <c r="A43" s="37" t="s">
        <v>267</v>
      </c>
      <c r="B43" s="38">
        <f>[37]ÓLEOS!$F$18</f>
        <v>2.9550000000000005</v>
      </c>
      <c r="C43" s="39">
        <f>100*B43/$B$8</f>
        <v>141.44170017231477</v>
      </c>
      <c r="D43" s="17">
        <f t="shared" si="8"/>
        <v>6.7943621250452058</v>
      </c>
      <c r="E43" s="18">
        <f t="shared" si="9"/>
        <v>7.1817192600652779</v>
      </c>
      <c r="F43" s="43">
        <f t="shared" si="10"/>
        <v>13.960663324334766</v>
      </c>
      <c r="G43" s="20">
        <f t="shared" si="7"/>
        <v>26.498287671232902</v>
      </c>
      <c r="H43" s="41">
        <f t="shared" si="3"/>
        <v>1.1834179357021994</v>
      </c>
      <c r="I43" s="36"/>
      <c r="J43" s="36"/>
      <c r="K43" s="36"/>
    </row>
    <row r="44" spans="1:11" x14ac:dyDescent="0.25">
      <c r="A44" s="37" t="str">
        <f>Diesel_S500!B256</f>
        <v>MARÇO|15</v>
      </c>
      <c r="B44" s="38">
        <f>[38]ÓLEOS!$F$18</f>
        <v>2.9570000000000003</v>
      </c>
      <c r="C44" s="39">
        <f>100*B44/$B$8</f>
        <v>141.53743059544323</v>
      </c>
      <c r="D44" s="17">
        <f t="shared" si="8"/>
        <v>6.7681895093052447E-2</v>
      </c>
      <c r="E44" s="18">
        <f t="shared" si="9"/>
        <v>7.2542618788538071</v>
      </c>
      <c r="F44" s="43">
        <f t="shared" si="10"/>
        <v>13.730769230769235</v>
      </c>
      <c r="G44" s="20">
        <f t="shared" ref="G44:G57" si="11">100*((C44/C20)-1)</f>
        <v>22.595356550580448</v>
      </c>
      <c r="H44" s="41">
        <f t="shared" si="3"/>
        <v>1.1826175177544807</v>
      </c>
      <c r="I44" s="36"/>
      <c r="J44" s="36"/>
      <c r="K44" s="36"/>
    </row>
    <row r="45" spans="1:11" x14ac:dyDescent="0.25">
      <c r="A45" s="37" t="str">
        <f>Diesel_S500!B257</f>
        <v>ABRIL|15</v>
      </c>
      <c r="B45" s="38">
        <f>[39]ÓLEOS!$F$18</f>
        <v>2.9580000000000006</v>
      </c>
      <c r="C45" s="39">
        <f t="shared" ref="C45:C55" si="12">100*B45/$B$8</f>
        <v>141.58529580700747</v>
      </c>
      <c r="D45" s="17">
        <f t="shared" si="8"/>
        <v>3.3818058843437804E-2</v>
      </c>
      <c r="E45" s="18">
        <f t="shared" si="9"/>
        <v>7.290533188248105</v>
      </c>
      <c r="F45" s="43">
        <f t="shared" si="10"/>
        <v>13.507290867229527</v>
      </c>
      <c r="G45" s="20">
        <f t="shared" si="11"/>
        <v>22.08006603384236</v>
      </c>
      <c r="H45" s="41">
        <f t="shared" si="3"/>
        <v>1.1822177146720754</v>
      </c>
      <c r="I45" s="36"/>
      <c r="J45" s="36"/>
      <c r="K45" s="36"/>
    </row>
    <row r="46" spans="1:11" x14ac:dyDescent="0.25">
      <c r="A46" s="37" t="str">
        <f>Diesel_S500!B258</f>
        <v>MAIO|15</v>
      </c>
      <c r="B46" s="38">
        <f>[40]ÓLEOS!$F$18</f>
        <v>2.956</v>
      </c>
      <c r="C46" s="39">
        <f t="shared" si="12"/>
        <v>141.48956538387898</v>
      </c>
      <c r="D46" s="17">
        <f t="shared" si="8"/>
        <v>-6.7613252197451512E-2</v>
      </c>
      <c r="E46" s="18">
        <f t="shared" si="9"/>
        <v>7.2179905694595314</v>
      </c>
      <c r="F46" s="43">
        <f t="shared" si="10"/>
        <v>13.343558282208591</v>
      </c>
      <c r="G46" s="20">
        <f t="shared" si="11"/>
        <v>21.596051007815721</v>
      </c>
      <c r="H46" s="41">
        <f t="shared" si="3"/>
        <v>1.1830175913396481</v>
      </c>
      <c r="I46" s="36"/>
      <c r="J46" s="36"/>
      <c r="K46" s="36"/>
    </row>
    <row r="47" spans="1:11" x14ac:dyDescent="0.25">
      <c r="A47" s="37" t="str">
        <f>Diesel_S500!B259</f>
        <v>JUNHO|15</v>
      </c>
      <c r="B47" s="38">
        <f>[41]ÓLEOS!$F$18</f>
        <v>2.9570000000000003</v>
      </c>
      <c r="C47" s="39">
        <f t="shared" si="12"/>
        <v>141.53743059544323</v>
      </c>
      <c r="D47" s="17">
        <f t="shared" si="8"/>
        <v>3.3829499323423384E-2</v>
      </c>
      <c r="E47" s="18">
        <f t="shared" si="9"/>
        <v>7.2542618788538071</v>
      </c>
      <c r="F47" s="43">
        <f t="shared" si="10"/>
        <v>13.295019157088127</v>
      </c>
      <c r="G47" s="20">
        <f t="shared" si="11"/>
        <v>21.437371663244377</v>
      </c>
      <c r="H47" s="41">
        <f t="shared" si="3"/>
        <v>1.1826175177544807</v>
      </c>
      <c r="I47" s="36"/>
      <c r="J47" s="36"/>
      <c r="K47" s="36"/>
    </row>
    <row r="48" spans="1:11" x14ac:dyDescent="0.25">
      <c r="A48" s="37" t="str">
        <f>Diesel_S500!B260</f>
        <v>JULHO|15</v>
      </c>
      <c r="B48" s="38">
        <f>[42]ÓLEOS!$F$18</f>
        <v>2.9520000000000004</v>
      </c>
      <c r="C48" s="39">
        <f t="shared" si="12"/>
        <v>141.29810453762204</v>
      </c>
      <c r="D48" s="17">
        <f t="shared" si="8"/>
        <v>-0.1690902942171113</v>
      </c>
      <c r="E48" s="18">
        <f t="shared" si="9"/>
        <v>7.0729053318824731</v>
      </c>
      <c r="F48" s="43">
        <f t="shared" si="10"/>
        <v>13.103448275862096</v>
      </c>
      <c r="G48" s="20">
        <f t="shared" si="11"/>
        <v>20.934043424825898</v>
      </c>
      <c r="H48" s="41">
        <f t="shared" si="3"/>
        <v>1.1846205962059619</v>
      </c>
      <c r="I48" s="36"/>
      <c r="J48" s="36"/>
      <c r="K48" s="36"/>
    </row>
    <row r="49" spans="1:11" x14ac:dyDescent="0.25">
      <c r="A49" s="37" t="str">
        <f>Diesel_S500!B261</f>
        <v>AGOSTO|15</v>
      </c>
      <c r="B49" s="38">
        <f>[43]ÓLEOS!$F$18</f>
        <v>2.9510000000000001</v>
      </c>
      <c r="C49" s="39">
        <f t="shared" si="12"/>
        <v>141.25023932605779</v>
      </c>
      <c r="D49" s="17">
        <f t="shared" si="8"/>
        <v>-3.3875338753397433E-2</v>
      </c>
      <c r="E49" s="18">
        <f t="shared" si="9"/>
        <v>7.0366340224881974</v>
      </c>
      <c r="F49" s="43">
        <f t="shared" si="10"/>
        <v>11.865049279757379</v>
      </c>
      <c r="G49" s="20">
        <f t="shared" si="11"/>
        <v>21.290587751746838</v>
      </c>
      <c r="H49" s="41">
        <f t="shared" si="3"/>
        <v>1.1850220264317179</v>
      </c>
      <c r="I49" s="36"/>
      <c r="J49" s="36"/>
      <c r="K49" s="36"/>
    </row>
    <row r="50" spans="1:11" x14ac:dyDescent="0.25">
      <c r="A50" s="37" t="str">
        <f>Diesel_S500!B262</f>
        <v>SETEMBRO|15</v>
      </c>
      <c r="B50" s="38">
        <f>[44]ÓLEOS!$F$18</f>
        <v>2.9600000000000004</v>
      </c>
      <c r="C50" s="39">
        <f t="shared" si="12"/>
        <v>141.68102623013593</v>
      </c>
      <c r="D50" s="17">
        <f t="shared" si="8"/>
        <v>0.30498136225010075</v>
      </c>
      <c r="E50" s="18">
        <f t="shared" si="9"/>
        <v>7.3630758070366342</v>
      </c>
      <c r="F50" s="43">
        <f t="shared" si="10"/>
        <v>12.121212121212132</v>
      </c>
      <c r="G50" s="20">
        <f t="shared" si="11"/>
        <v>21.71052631578949</v>
      </c>
      <c r="H50" s="41">
        <f t="shared" si="3"/>
        <v>1.1814189189189188</v>
      </c>
      <c r="I50" s="36"/>
      <c r="J50" s="36"/>
      <c r="K50" s="36"/>
    </row>
    <row r="51" spans="1:11" x14ac:dyDescent="0.25">
      <c r="A51" s="37" t="str">
        <f>Diesel_S500!B263</f>
        <v>OUTUBRO|15</v>
      </c>
      <c r="B51" s="38">
        <f>[45]ÓLEOS!$F$18</f>
        <v>3.0830000000000006</v>
      </c>
      <c r="C51" s="39">
        <f t="shared" si="12"/>
        <v>147.56844725253686</v>
      </c>
      <c r="D51" s="17">
        <f t="shared" si="8"/>
        <v>4.1554054054054212</v>
      </c>
      <c r="E51" s="18">
        <f t="shared" si="9"/>
        <v>11.824446862531746</v>
      </c>
      <c r="F51" s="43">
        <f t="shared" si="10"/>
        <v>16.780303030303045</v>
      </c>
      <c r="G51" s="20">
        <f t="shared" si="11"/>
        <v>26.872427983539104</v>
      </c>
      <c r="H51" s="41">
        <f t="shared" si="3"/>
        <v>1.1342847875445992</v>
      </c>
      <c r="I51" s="36"/>
      <c r="J51" s="36"/>
      <c r="K51" s="36"/>
    </row>
    <row r="52" spans="1:11" x14ac:dyDescent="0.25">
      <c r="A52" s="37" t="str">
        <f>Diesel_S500!B264</f>
        <v>NOVEMBRO|15</v>
      </c>
      <c r="B52" s="38">
        <f>[46]ÓLEOS!$F$18</f>
        <v>3.1230000000000007</v>
      </c>
      <c r="C52" s="39">
        <f t="shared" si="12"/>
        <v>149.48305571510627</v>
      </c>
      <c r="D52" s="17">
        <f t="shared" si="8"/>
        <v>1.2974375608173938</v>
      </c>
      <c r="E52" s="18">
        <f t="shared" si="9"/>
        <v>13.275299238302507</v>
      </c>
      <c r="F52" s="43">
        <f t="shared" si="10"/>
        <v>13.522355507088335</v>
      </c>
      <c r="G52" s="20">
        <f t="shared" si="11"/>
        <v>28.571428571428605</v>
      </c>
      <c r="H52" s="41">
        <f t="shared" si="3"/>
        <v>1.1197566442523212</v>
      </c>
      <c r="I52" s="36"/>
      <c r="J52" s="36"/>
      <c r="K52" s="36"/>
    </row>
    <row r="53" spans="1:11" x14ac:dyDescent="0.25">
      <c r="A53" s="37" t="str">
        <f>Diesel_S500!B265</f>
        <v>DEZEMBRO|15</v>
      </c>
      <c r="B53" s="38">
        <f>[47]ÓLEOS!$F$18</f>
        <v>3.1290000000000004</v>
      </c>
      <c r="C53" s="39">
        <f t="shared" si="12"/>
        <v>149.77024698449165</v>
      </c>
      <c r="D53" s="17">
        <f t="shared" si="8"/>
        <v>0.19212295869355245</v>
      </c>
      <c r="E53" s="18">
        <f t="shared" si="9"/>
        <v>13.492927094668117</v>
      </c>
      <c r="F53" s="43">
        <f t="shared" si="10"/>
        <v>13.492927094668117</v>
      </c>
      <c r="G53" s="20">
        <f t="shared" si="11"/>
        <v>21.326095385808451</v>
      </c>
      <c r="H53" s="41">
        <f t="shared" si="3"/>
        <v>1.1176094598913389</v>
      </c>
      <c r="I53" s="36"/>
      <c r="J53" s="36"/>
      <c r="K53" s="36"/>
    </row>
    <row r="54" spans="1:11" x14ac:dyDescent="0.25">
      <c r="A54" s="37" t="str">
        <f>Diesel_S500!B266</f>
        <v>JANEIRO|16</v>
      </c>
      <c r="B54" s="38">
        <f>[48]ÓLEOS!$F$18</f>
        <v>3.1559999999999997</v>
      </c>
      <c r="C54" s="39">
        <f t="shared" si="12"/>
        <v>151.06260769672596</v>
      </c>
      <c r="D54" s="17">
        <f t="shared" si="8"/>
        <v>0.86289549376794561</v>
      </c>
      <c r="E54" s="18">
        <f t="shared" si="9"/>
        <v>14.472252448313361</v>
      </c>
      <c r="F54" s="43">
        <f t="shared" si="10"/>
        <v>14.058547162992397</v>
      </c>
      <c r="G54" s="20">
        <f t="shared" si="11"/>
        <v>21.853281853281835</v>
      </c>
      <c r="H54" s="41">
        <f t="shared" si="3"/>
        <v>1.1080481622306717</v>
      </c>
      <c r="I54" s="36"/>
      <c r="J54" s="36"/>
      <c r="K54" s="36"/>
    </row>
    <row r="55" spans="1:11" x14ac:dyDescent="0.25">
      <c r="A55" s="37" t="str">
        <f>Diesel_S500!B267</f>
        <v>FEVEREIRO|16</v>
      </c>
      <c r="B55" s="38">
        <f>[49]ÓLEOS!$F$18</f>
        <v>3.16</v>
      </c>
      <c r="C55" s="39">
        <f t="shared" si="12"/>
        <v>151.25406854298294</v>
      </c>
      <c r="D55" s="17">
        <f t="shared" si="8"/>
        <v>0.12674271229404788</v>
      </c>
      <c r="E55" s="18">
        <f t="shared" si="9"/>
        <v>14.61733768589044</v>
      </c>
      <c r="F55" s="43">
        <f t="shared" si="10"/>
        <v>6.9373942470388972</v>
      </c>
      <c r="G55" s="20">
        <f t="shared" si="11"/>
        <v>21.866563825684548</v>
      </c>
      <c r="H55" s="41">
        <f t="shared" si="3"/>
        <v>1.1066455696202531</v>
      </c>
      <c r="I55" s="36"/>
      <c r="J55" s="36"/>
      <c r="K55" s="36"/>
    </row>
    <row r="56" spans="1:11" x14ac:dyDescent="0.25">
      <c r="A56" s="37" t="str">
        <f>Diesel_S500!B268</f>
        <v>MARÇO|16</v>
      </c>
      <c r="B56" s="38">
        <f>[50]ÓLEOS!$F$18</f>
        <v>3.1629999999999998</v>
      </c>
      <c r="C56" s="39">
        <f>100*B56/$B$8</f>
        <v>151.39766417767561</v>
      </c>
      <c r="D56" s="17">
        <f t="shared" si="8"/>
        <v>9.493670886076E-2</v>
      </c>
      <c r="E56" s="18">
        <f t="shared" si="9"/>
        <v>14.726151614073245</v>
      </c>
      <c r="F56" s="43">
        <f t="shared" si="10"/>
        <v>6.9665201217449901</v>
      </c>
      <c r="G56" s="20">
        <f t="shared" si="11"/>
        <v>21.653846153846136</v>
      </c>
      <c r="H56" s="41">
        <f t="shared" si="3"/>
        <v>1.1055959532089787</v>
      </c>
      <c r="I56" s="36"/>
      <c r="J56" s="36"/>
      <c r="K56" s="36"/>
    </row>
    <row r="57" spans="1:11" x14ac:dyDescent="0.25">
      <c r="A57" s="37" t="str">
        <f>Diesel_S500!B269</f>
        <v>ABRIL|16</v>
      </c>
      <c r="B57" s="38">
        <f>[51]ÓLEOS!$F$18</f>
        <v>3.1640000000000006</v>
      </c>
      <c r="C57" s="39">
        <f>100*B57/$B$8</f>
        <v>151.44552938923988</v>
      </c>
      <c r="D57" s="17">
        <f t="shared" si="8"/>
        <v>3.1615554853003935E-2</v>
      </c>
      <c r="E57" s="18">
        <f t="shared" si="9"/>
        <v>14.762422923467543</v>
      </c>
      <c r="F57" s="43">
        <f t="shared" si="10"/>
        <v>6.964164976335363</v>
      </c>
      <c r="G57" s="20">
        <f t="shared" si="11"/>
        <v>21.412125863392205</v>
      </c>
      <c r="H57" s="41">
        <f t="shared" si="3"/>
        <v>1.1052465233881161</v>
      </c>
      <c r="I57" s="36"/>
      <c r="J57" s="36"/>
      <c r="K57" s="36"/>
    </row>
    <row r="58" spans="1:11" x14ac:dyDescent="0.25">
      <c r="A58" s="37" t="str">
        <f>Diesel_S500!B270</f>
        <v>MAIO|16</v>
      </c>
      <c r="B58" s="38">
        <f>[52]ÓLEOS!$F$18</f>
        <v>3.1580000000000004</v>
      </c>
      <c r="C58" s="39">
        <f t="shared" ref="C58:C63" si="13">100*B58/$B$8</f>
        <v>151.15833811985448</v>
      </c>
      <c r="D58" s="17">
        <f t="shared" ref="D58:D61" si="14">100*((B58/B57)-1)</f>
        <v>-0.18963337547408532</v>
      </c>
      <c r="E58" s="18">
        <f t="shared" ref="E58:E61" si="15">100*((B58/$B$41)-1)</f>
        <v>14.544795067101912</v>
      </c>
      <c r="F58" s="43">
        <f t="shared" ref="F58:F61" si="16">100*((B58/B46)-1)</f>
        <v>6.8335588633288369</v>
      </c>
      <c r="G58" s="20">
        <f t="shared" ref="G58:G61" si="17">100*((C58/C34)-1)</f>
        <v>21.088957055214721</v>
      </c>
      <c r="H58" s="41">
        <f t="shared" si="3"/>
        <v>1.1073464217859403</v>
      </c>
      <c r="I58" s="36"/>
      <c r="J58" s="36"/>
      <c r="K58" s="36"/>
    </row>
    <row r="59" spans="1:11" x14ac:dyDescent="0.25">
      <c r="A59" s="37" t="str">
        <f>Diesel_S500!B271</f>
        <v>JUNHO|16</v>
      </c>
      <c r="B59" s="38">
        <f>[53]ÓLEOS!$F$18</f>
        <v>3.1589999999999994</v>
      </c>
      <c r="C59" s="39">
        <f t="shared" si="13"/>
        <v>151.20620333141866</v>
      </c>
      <c r="D59" s="17">
        <f t="shared" si="14"/>
        <v>3.1665611146269868E-2</v>
      </c>
      <c r="E59" s="18">
        <f t="shared" si="15"/>
        <v>14.581066376496143</v>
      </c>
      <c r="F59" s="43">
        <f t="shared" si="16"/>
        <v>6.8312478863712833</v>
      </c>
      <c r="G59" s="20">
        <f t="shared" si="17"/>
        <v>21.034482758620676</v>
      </c>
      <c r="H59" s="41">
        <f t="shared" si="3"/>
        <v>1.1069958847736627</v>
      </c>
      <c r="I59" s="36"/>
      <c r="J59" s="36"/>
      <c r="K59" s="36"/>
    </row>
    <row r="60" spans="1:11" x14ac:dyDescent="0.25">
      <c r="A60" s="37" t="str">
        <f>Diesel_S500!B272</f>
        <v>JULHO|16</v>
      </c>
      <c r="B60" s="38">
        <f>[54]ÓLEOS!$F$18</f>
        <v>3.1520000000000006</v>
      </c>
      <c r="C60" s="39">
        <f t="shared" si="13"/>
        <v>150.87114685046907</v>
      </c>
      <c r="D60" s="17">
        <f t="shared" si="14"/>
        <v>-0.22158911047795993</v>
      </c>
      <c r="E60" s="18">
        <f t="shared" si="15"/>
        <v>14.327167210736302</v>
      </c>
      <c r="F60" s="43">
        <f t="shared" si="16"/>
        <v>6.7750677506775103</v>
      </c>
      <c r="G60" s="20">
        <f t="shared" si="17"/>
        <v>20.766283524904239</v>
      </c>
      <c r="H60" s="41">
        <f t="shared" si="3"/>
        <v>1.109454314720812</v>
      </c>
      <c r="I60" s="36"/>
      <c r="J60" s="36"/>
      <c r="K60" s="36"/>
    </row>
    <row r="61" spans="1:11" x14ac:dyDescent="0.25">
      <c r="A61" s="37" t="str">
        <f>Diesel_S500!B273</f>
        <v>AGOSTO|16</v>
      </c>
      <c r="B61" s="38">
        <f>[55]ÓLEOS!$F$18</f>
        <v>3.1499999999999995</v>
      </c>
      <c r="C61" s="39">
        <f t="shared" si="13"/>
        <v>150.77541642734056</v>
      </c>
      <c r="D61" s="17">
        <f t="shared" si="14"/>
        <v>-6.3451776649781078E-2</v>
      </c>
      <c r="E61" s="18">
        <f t="shared" si="15"/>
        <v>14.254624591947728</v>
      </c>
      <c r="F61" s="43">
        <f t="shared" si="16"/>
        <v>6.7434767875296231</v>
      </c>
      <c r="G61" s="20">
        <f t="shared" si="17"/>
        <v>19.408642911296425</v>
      </c>
      <c r="H61" s="41">
        <f t="shared" si="3"/>
        <v>1.1101587301587303</v>
      </c>
      <c r="I61" s="36"/>
      <c r="J61" s="36"/>
      <c r="K61" s="36"/>
    </row>
    <row r="62" spans="1:11" x14ac:dyDescent="0.25">
      <c r="A62" s="37" t="str">
        <f>Diesel_S500!B274</f>
        <v>SETEMBRO|16</v>
      </c>
      <c r="B62" s="38">
        <f>[56]ÓLEOS!$F$18</f>
        <v>3.1490000000000005</v>
      </c>
      <c r="C62" s="39">
        <f t="shared" si="13"/>
        <v>150.72755121577637</v>
      </c>
      <c r="D62" s="17">
        <f t="shared" ref="D62:D63" si="18">100*((B62/B61)-1)</f>
        <v>-3.1746031746004988E-2</v>
      </c>
      <c r="E62" s="18">
        <f t="shared" ref="E62:E63" si="19">100*((B62/$B$41)-1)</f>
        <v>14.218353282553498</v>
      </c>
      <c r="F62" s="43">
        <f t="shared" ref="F62:F63" si="20">100*((B62/B50)-1)</f>
        <v>6.3851351351351449</v>
      </c>
      <c r="G62" s="20">
        <f t="shared" ref="G62:G63" si="21">100*((C62/C38)-1)</f>
        <v>19.28030303030306</v>
      </c>
      <c r="H62" s="41">
        <f t="shared" si="3"/>
        <v>1.1105112734201332</v>
      </c>
      <c r="I62" s="36"/>
      <c r="J62" s="36"/>
      <c r="K62" s="36"/>
    </row>
    <row r="63" spans="1:11" x14ac:dyDescent="0.25">
      <c r="A63" s="104" t="str">
        <f>Diesel_S500!B275</f>
        <v>OUTUBRO|16</v>
      </c>
      <c r="B63" s="105">
        <f>[57]ÓLEOS!$F$18</f>
        <v>3.1469999999999994</v>
      </c>
      <c r="C63" s="106">
        <f t="shared" si="13"/>
        <v>150.63182079264783</v>
      </c>
      <c r="D63" s="22">
        <f t="shared" si="18"/>
        <v>-6.3512226103557001E-2</v>
      </c>
      <c r="E63" s="23">
        <f t="shared" si="19"/>
        <v>14.145810663764923</v>
      </c>
      <c r="F63" s="107">
        <f t="shared" si="20"/>
        <v>2.0759000973077812</v>
      </c>
      <c r="G63" s="24">
        <f t="shared" si="21"/>
        <v>19.204545454545418</v>
      </c>
      <c r="H63" s="41">
        <f t="shared" si="3"/>
        <v>1.111217032094058</v>
      </c>
      <c r="I63" s="36"/>
      <c r="J63" s="36"/>
      <c r="K63" s="36"/>
    </row>
    <row r="64" spans="1:11" x14ac:dyDescent="0.25">
      <c r="A64" s="104" t="str">
        <f>Diesel_S500!B276</f>
        <v>NOVEMBRO|16</v>
      </c>
      <c r="B64" s="105">
        <f>[58]ÓLEOS!$F$18</f>
        <v>3.1280000000000001</v>
      </c>
      <c r="C64" s="106">
        <f t="shared" ref="C64" si="22">100*B64/$B$8</f>
        <v>149.72238177292741</v>
      </c>
      <c r="D64" s="22">
        <f t="shared" ref="D64" si="23">100*((B64/B63)-1)</f>
        <v>-0.60374960279628853</v>
      </c>
      <c r="E64" s="23">
        <f t="shared" ref="E64" si="24">100*((B64/$B$41)-1)</f>
        <v>13.456655785273819</v>
      </c>
      <c r="F64" s="107">
        <f t="shared" ref="F64" si="25">100*((B64/B52)-1)</f>
        <v>0.16010246557796037</v>
      </c>
      <c r="G64" s="24">
        <f t="shared" ref="G64" si="26">100*((C64/C40)-1)</f>
        <v>13.704107597237346</v>
      </c>
      <c r="H64" s="41">
        <f t="shared" si="3"/>
        <v>1.1179667519181584</v>
      </c>
      <c r="I64" s="36"/>
      <c r="J64" s="36"/>
      <c r="K64" s="36"/>
    </row>
    <row r="65" spans="1:11" x14ac:dyDescent="0.25">
      <c r="A65" s="37" t="str">
        <f>Diesel_S500!B277</f>
        <v>DEZEMBRO|16</v>
      </c>
      <c r="B65" s="38">
        <f>[59]ÓLEOS!$F$18</f>
        <v>3.1900000000000004</v>
      </c>
      <c r="C65" s="39">
        <f t="shared" ref="C65:C66" si="27">100*B65/$B$8</f>
        <v>152.69002488991001</v>
      </c>
      <c r="D65" s="17">
        <f t="shared" ref="D65:D66" si="28">100*((B65/B64)-1)</f>
        <v>1.9820971867007708</v>
      </c>
      <c r="E65" s="18">
        <f t="shared" ref="E65" si="29">100*((B65/$B$41)-1)</f>
        <v>15.705476967718536</v>
      </c>
      <c r="F65" s="43">
        <f t="shared" ref="F65:F66" si="30">100*((B65/B53)-1)</f>
        <v>1.9495046340683997</v>
      </c>
      <c r="G65" s="20">
        <f t="shared" ref="G65:G66" si="31">100*((C65/C41)-1)</f>
        <v>15.705476967718512</v>
      </c>
      <c r="H65" s="41">
        <f t="shared" si="3"/>
        <v>1.0962382445141063</v>
      </c>
      <c r="I65" s="36"/>
      <c r="J65" s="36"/>
      <c r="K65" s="36"/>
    </row>
    <row r="66" spans="1:11" x14ac:dyDescent="0.25">
      <c r="A66" s="37" t="str">
        <f>Diesel_S500!B278</f>
        <v>JANEIRO|17</v>
      </c>
      <c r="B66" s="38">
        <f>[60]ÓLEOS!$F$18</f>
        <v>3.262</v>
      </c>
      <c r="C66" s="39">
        <f t="shared" si="27"/>
        <v>156.1363201225349</v>
      </c>
      <c r="D66" s="17">
        <f t="shared" si="28"/>
        <v>2.2570532915360486</v>
      </c>
      <c r="E66" s="18">
        <f>100*((B66/$B$65)-1)</f>
        <v>2.2570532915360486</v>
      </c>
      <c r="F66" s="43">
        <f t="shared" si="30"/>
        <v>3.3586818757921577</v>
      </c>
      <c r="G66" s="20">
        <f t="shared" si="31"/>
        <v>17.889410914347657</v>
      </c>
      <c r="H66" s="41">
        <f t="shared" si="3"/>
        <v>1.072041692213366</v>
      </c>
      <c r="I66" s="36"/>
      <c r="J66" s="36"/>
      <c r="K66" s="36"/>
    </row>
    <row r="67" spans="1:11" x14ac:dyDescent="0.25">
      <c r="A67" s="37" t="str">
        <f>Diesel_S500!B279</f>
        <v>FEVEREIRO|17</v>
      </c>
      <c r="B67" s="38">
        <f>[61]ÓLEOS!$F$18</f>
        <v>3.238</v>
      </c>
      <c r="C67" s="39">
        <f t="shared" ref="C67" si="32">100*B67/$B$8</f>
        <v>154.98755504499329</v>
      </c>
      <c r="D67" s="17">
        <f t="shared" ref="D67" si="33">100*((B67/B66)-1)</f>
        <v>-0.73574494175352445</v>
      </c>
      <c r="E67" s="18">
        <f>100*((B67/$B$65)-1)</f>
        <v>1.5047021943573435</v>
      </c>
      <c r="F67" s="43">
        <f t="shared" ref="F67" si="34">100*((B67/B55)-1)</f>
        <v>2.4683544303797378</v>
      </c>
      <c r="G67" s="20">
        <f t="shared" ref="G67" si="35">100*((C67/C43)-1)</f>
        <v>9.5769881556683423</v>
      </c>
      <c r="H67" s="41">
        <f t="shared" si="3"/>
        <v>1.079987646695491</v>
      </c>
      <c r="I67" s="36"/>
      <c r="J67" s="36"/>
      <c r="K67" s="36"/>
    </row>
    <row r="68" spans="1:11" x14ac:dyDescent="0.25">
      <c r="A68" s="37" t="str">
        <f>Diesel_S500!B280</f>
        <v>MARÇO|17</v>
      </c>
      <c r="B68" s="38">
        <f>[62]ÓLEOS!$F$18</f>
        <v>3.1750000000000003</v>
      </c>
      <c r="C68" s="39">
        <f t="shared" ref="C68:C69" si="36">100*B68/$B$8</f>
        <v>151.97204671644647</v>
      </c>
      <c r="D68" s="17">
        <f t="shared" ref="D68:D69" si="37">100*((B68/B67)-1)</f>
        <v>-1.9456454601605833</v>
      </c>
      <c r="E68" s="18">
        <f t="shared" ref="E68:E69" si="38">100*((B68/$B$65)-1)</f>
        <v>-0.47021943573668512</v>
      </c>
      <c r="F68" s="43">
        <f t="shared" ref="F68:F69" si="39">100*((B68/B56)-1)</f>
        <v>0.37938665823586959</v>
      </c>
      <c r="G68" s="20">
        <f t="shared" ref="G68:G69" si="40">100*((C68/C44)-1)</f>
        <v>7.3723368278660661</v>
      </c>
      <c r="H68" s="41">
        <f t="shared" si="3"/>
        <v>1.1014173228346456</v>
      </c>
      <c r="I68" s="36"/>
      <c r="J68" s="36"/>
      <c r="K68" s="36"/>
    </row>
    <row r="69" spans="1:11" x14ac:dyDescent="0.25">
      <c r="A69" s="37" t="str">
        <f>Diesel_S500!B281</f>
        <v>ABRIL|17</v>
      </c>
      <c r="B69" s="38">
        <f>[63]ÓLEOS!$F$18</f>
        <v>3.1539999999999999</v>
      </c>
      <c r="C69" s="39">
        <f t="shared" si="36"/>
        <v>150.9668772735975</v>
      </c>
      <c r="D69" s="17">
        <f t="shared" si="37"/>
        <v>-0.66141732283465648</v>
      </c>
      <c r="E69" s="18">
        <f t="shared" si="38"/>
        <v>-1.1285266457680354</v>
      </c>
      <c r="F69" s="43">
        <f t="shared" si="39"/>
        <v>-0.316055625790157</v>
      </c>
      <c r="G69" s="20">
        <f t="shared" si="40"/>
        <v>6.6260987153481832</v>
      </c>
      <c r="H69" s="41">
        <f t="shared" si="3"/>
        <v>1.1087507926442612</v>
      </c>
      <c r="I69" s="36"/>
      <c r="J69" s="36"/>
      <c r="K69" s="36"/>
    </row>
    <row r="70" spans="1:11" x14ac:dyDescent="0.25">
      <c r="A70" s="37" t="str">
        <f>Diesel_S500!B282</f>
        <v>MAIO|17</v>
      </c>
      <c r="B70" s="38">
        <f>[64]ÓLEOS!$F$18</f>
        <v>3.1520000000000006</v>
      </c>
      <c r="C70" s="39">
        <f t="shared" ref="C70:C71" si="41">100*B70/$B$8</f>
        <v>150.87114685046907</v>
      </c>
      <c r="D70" s="17">
        <f t="shared" ref="D70:D71" si="42">100*((B70/B69)-1)</f>
        <v>-6.3411540900426555E-2</v>
      </c>
      <c r="E70" s="18">
        <f t="shared" ref="E70:E71" si="43">100*((B70/$B$65)-1)</f>
        <v>-1.1912225705329127</v>
      </c>
      <c r="F70" s="43">
        <f t="shared" ref="F70:F71" si="44">100*((B70/B58)-1)</f>
        <v>-0.18999366687776353</v>
      </c>
      <c r="G70" s="20">
        <f t="shared" ref="G70:G71" si="45">100*((C70/C46)-1)</f>
        <v>6.6305818673883632</v>
      </c>
      <c r="H70" s="41">
        <f t="shared" si="3"/>
        <v>1.109454314720812</v>
      </c>
      <c r="I70" s="36"/>
      <c r="J70" s="36"/>
      <c r="K70" s="36"/>
    </row>
    <row r="71" spans="1:11" x14ac:dyDescent="0.25">
      <c r="A71" s="37" t="str">
        <f>Diesel_S500!B283</f>
        <v>JUNHO|17</v>
      </c>
      <c r="B71" s="38">
        <f>[65]ÓLEOS!$F$18</f>
        <v>3.0979999999999994</v>
      </c>
      <c r="C71" s="39">
        <f t="shared" si="41"/>
        <v>148.28642542600033</v>
      </c>
      <c r="D71" s="17">
        <f t="shared" si="42"/>
        <v>-1.7131979695431787</v>
      </c>
      <c r="E71" s="18">
        <f t="shared" si="43"/>
        <v>-2.884012539184988</v>
      </c>
      <c r="F71" s="43">
        <f t="shared" si="44"/>
        <v>-1.9309908198797077</v>
      </c>
      <c r="G71" s="20">
        <f t="shared" si="45"/>
        <v>4.7683462969225321</v>
      </c>
      <c r="H71" s="41">
        <f t="shared" si="3"/>
        <v>1.1287927695287283</v>
      </c>
      <c r="I71" s="36"/>
      <c r="J71" s="36"/>
      <c r="K71" s="36"/>
    </row>
    <row r="72" spans="1:11" x14ac:dyDescent="0.25">
      <c r="A72" s="37" t="str">
        <f>Diesel_S500!B284</f>
        <v>JULHO|17</v>
      </c>
      <c r="B72" s="38">
        <f>[66]ÓLEOS!$F$18</f>
        <v>3.1849999999999996</v>
      </c>
      <c r="C72" s="39">
        <f t="shared" ref="C72" si="46">100*B72/$B$8</f>
        <v>152.45069883208879</v>
      </c>
      <c r="D72" s="17">
        <f t="shared" ref="D72" si="47">100*((B72/B71)-1)</f>
        <v>2.8082633957391856</v>
      </c>
      <c r="E72" s="18">
        <f t="shared" ref="E72" si="48">100*((B72/$B$65)-1)</f>
        <v>-0.15673981191225428</v>
      </c>
      <c r="F72" s="43">
        <f t="shared" ref="F72" si="49">100*((B72/B60)-1)</f>
        <v>1.0469543147207716</v>
      </c>
      <c r="G72" s="20">
        <f t="shared" ref="G72" si="50">100*((C72/C48)-1)</f>
        <v>7.8929539295392814</v>
      </c>
      <c r="H72" s="41">
        <f t="shared" si="3"/>
        <v>1.0979591836734695</v>
      </c>
      <c r="I72" s="36"/>
      <c r="J72" s="36"/>
      <c r="K72" s="36"/>
    </row>
    <row r="73" spans="1:11" x14ac:dyDescent="0.25">
      <c r="A73" s="37" t="str">
        <f>Diesel_S500!B285</f>
        <v>AGOSTO|17</v>
      </c>
      <c r="B73" s="38">
        <f>[67]ÓLEOS!$F$18</f>
        <v>3.2459999999999996</v>
      </c>
      <c r="C73" s="39">
        <f t="shared" ref="C73" si="51">100*B73/$B$8</f>
        <v>155.37047673750715</v>
      </c>
      <c r="D73" s="17">
        <f t="shared" ref="D73" si="52">100*((B73/B72)-1)</f>
        <v>1.9152276295133497</v>
      </c>
      <c r="E73" s="18">
        <f t="shared" ref="E73" si="53">100*((B73/$B$65)-1)</f>
        <v>1.7554858934168971</v>
      </c>
      <c r="F73" s="43">
        <f t="shared" ref="F73" si="54">100*((B73/B61)-1)</f>
        <v>3.0476190476190546</v>
      </c>
      <c r="G73" s="20">
        <f t="shared" ref="G73" si="55">100*((C73/C49)-1)</f>
        <v>9.9966113181972247</v>
      </c>
      <c r="H73" s="41">
        <f t="shared" si="3"/>
        <v>1.0773259396179915</v>
      </c>
      <c r="I73" s="36"/>
      <c r="J73" s="36"/>
      <c r="K73" s="36"/>
    </row>
    <row r="74" spans="1:11" x14ac:dyDescent="0.25">
      <c r="A74" s="37" t="str">
        <f>Diesel_S500!B286</f>
        <v>SETEMBRO|17</v>
      </c>
      <c r="B74" s="38">
        <f>[68]ÓLEOS!$F$18</f>
        <v>3.3329999999999993</v>
      </c>
      <c r="C74" s="39">
        <f t="shared" ref="C74" si="56">100*B74/$B$8</f>
        <v>159.53475014359557</v>
      </c>
      <c r="D74" s="17">
        <f t="shared" ref="D74" si="57">100*((B74/B73)-1)</f>
        <v>2.6802218114602594</v>
      </c>
      <c r="E74" s="18">
        <f t="shared" ref="E74" si="58">100*((B74/$B$65)-1)</f>
        <v>4.4827586206896308</v>
      </c>
      <c r="F74" s="43">
        <f t="shared" ref="F74" si="59">100*((B74/B62)-1)</f>
        <v>5.8431248015242465</v>
      </c>
      <c r="G74" s="20">
        <f t="shared" ref="G74" si="60">100*((C74/C50)-1)</f>
        <v>12.601351351351319</v>
      </c>
      <c r="H74" s="41">
        <f t="shared" ref="H74:H81" si="61">$B$81/B74</f>
        <v>1.0492049204920495</v>
      </c>
      <c r="I74" s="36"/>
      <c r="J74" s="36"/>
      <c r="K74" s="36"/>
    </row>
    <row r="75" spans="1:11" x14ac:dyDescent="0.25">
      <c r="A75" s="37" t="str">
        <f>Diesel_S500!B287</f>
        <v>OUTUBRO|17</v>
      </c>
      <c r="B75" s="38">
        <f>[69]ÓLEOS!$F$18</f>
        <v>3.343</v>
      </c>
      <c r="C75" s="39">
        <f t="shared" ref="C75" si="62">100*B75/$B$8</f>
        <v>160.01340225923795</v>
      </c>
      <c r="D75" s="17">
        <f t="shared" ref="D75" si="63">100*((B75/B74)-1)</f>
        <v>0.30003000300031779</v>
      </c>
      <c r="E75" s="18">
        <f t="shared" ref="E75" si="64">100*((B75/$B$65)-1)</f>
        <v>4.796238244514095</v>
      </c>
      <c r="F75" s="43">
        <f t="shared" ref="F75" si="65">100*((B75/B63)-1)</f>
        <v>6.2281537972672663</v>
      </c>
      <c r="G75" s="20">
        <f t="shared" ref="G75" si="66">100*((C75/C51)-1)</f>
        <v>8.4333441453129829</v>
      </c>
      <c r="H75" s="41">
        <f t="shared" si="61"/>
        <v>1.0460664074184864</v>
      </c>
      <c r="I75" s="36"/>
      <c r="J75" s="36"/>
      <c r="K75" s="36"/>
    </row>
    <row r="76" spans="1:11" x14ac:dyDescent="0.25">
      <c r="A76" s="37" t="str">
        <f>Diesel_S500!B288</f>
        <v>NOVEMBRO|17</v>
      </c>
      <c r="B76" s="38">
        <f>'[70]nov-17'!$C$9</f>
        <v>3.4329999999999998</v>
      </c>
      <c r="C76" s="39">
        <f t="shared" ref="C76" si="67">100*B76/$B$8</f>
        <v>164.32127130001911</v>
      </c>
      <c r="D76" s="17">
        <f t="shared" ref="D76" si="68">100*((B76/B75)-1)</f>
        <v>2.6921926413401076</v>
      </c>
      <c r="E76" s="18">
        <f t="shared" ref="E76" si="69">100*((B76/$B$65)-1)</f>
        <v>7.6175548589341613</v>
      </c>
      <c r="F76" s="43">
        <f t="shared" ref="F76" si="70">100*((B76/B64)-1)</f>
        <v>9.7506393861892526</v>
      </c>
      <c r="G76" s="20">
        <f t="shared" ref="G76" si="71">100*((C76/C52)-1)</f>
        <v>9.9263528658340974</v>
      </c>
      <c r="H76" s="41">
        <f t="shared" si="61"/>
        <v>1.0186425866588988</v>
      </c>
      <c r="I76" s="36"/>
      <c r="J76" s="36"/>
      <c r="K76" s="36"/>
    </row>
    <row r="77" spans="1:11" x14ac:dyDescent="0.25">
      <c r="A77" s="37" t="str">
        <f>Diesel_S500!B289</f>
        <v>DEZEMBRO|17</v>
      </c>
      <c r="B77" s="38">
        <f>'[70]dez-17'!$C$9</f>
        <v>3.4639999999999995</v>
      </c>
      <c r="C77" s="39">
        <f t="shared" ref="C77:C78" si="72">100*B77/$B$8</f>
        <v>165.80509285851039</v>
      </c>
      <c r="D77" s="17">
        <f t="shared" ref="D77:D78" si="73">100*((B77/B76)-1)</f>
        <v>0.90300029129040116</v>
      </c>
      <c r="E77" s="18">
        <f t="shared" ref="E77:E78" si="74">100*((B77/$B$65)-1)</f>
        <v>8.5893416927899313</v>
      </c>
      <c r="F77" s="43">
        <f t="shared" ref="F77:F78" si="75">100*((B77/B65)-1)</f>
        <v>8.5893416927899313</v>
      </c>
      <c r="G77" s="20">
        <f t="shared" ref="G77:G78" si="76">100*((C77/C53)-1)</f>
        <v>10.706295941195254</v>
      </c>
      <c r="H77" s="41">
        <f t="shared" si="61"/>
        <v>1.009526558891455</v>
      </c>
      <c r="I77" s="36"/>
      <c r="J77" s="36"/>
      <c r="K77" s="36"/>
    </row>
    <row r="78" spans="1:11" x14ac:dyDescent="0.25">
      <c r="A78" s="37" t="str">
        <f>Diesel_S500!B290</f>
        <v>JANEIRO|18</v>
      </c>
      <c r="B78" s="38">
        <f>'[71]jan-18'!$C$9</f>
        <v>3.5010000000000003</v>
      </c>
      <c r="C78" s="39">
        <f t="shared" si="72"/>
        <v>167.57610568638711</v>
      </c>
      <c r="D78" s="17">
        <f t="shared" si="73"/>
        <v>1.068129330254064</v>
      </c>
      <c r="E78" s="18">
        <f t="shared" si="74"/>
        <v>9.7492163009404322</v>
      </c>
      <c r="F78" s="43">
        <f t="shared" si="75"/>
        <v>7.3267933782955375</v>
      </c>
      <c r="G78" s="20">
        <f t="shared" si="76"/>
        <v>10.931558935361242</v>
      </c>
      <c r="H78" s="41">
        <f t="shared" si="61"/>
        <v>0.99885746929448715</v>
      </c>
      <c r="I78" s="36"/>
      <c r="J78" s="36"/>
      <c r="K78" s="36"/>
    </row>
    <row r="79" spans="1:11" x14ac:dyDescent="0.25">
      <c r="A79" s="37" t="str">
        <f>Diesel_S500!B291</f>
        <v>FEVEREIRO|18</v>
      </c>
      <c r="B79" s="38">
        <f>'[71]fev-18'!$C$9</f>
        <v>3.5079999999999996</v>
      </c>
      <c r="C79" s="39">
        <f t="shared" ref="C79:C80" si="77">100*B79/$B$8</f>
        <v>167.91116216733673</v>
      </c>
      <c r="D79" s="17">
        <f t="shared" ref="D79:D80" si="78">100*((B79/B78)-1)</f>
        <v>0.19994287346469797</v>
      </c>
      <c r="E79" s="18">
        <f t="shared" ref="E79:E80" si="79">100*((B79/$B$65)-1)</f>
        <v>9.9686520376175203</v>
      </c>
      <c r="F79" s="43">
        <f t="shared" ref="F79:F80" si="80">100*((B79/B67)-1)</f>
        <v>8.3384805435453799</v>
      </c>
      <c r="G79" s="20">
        <f t="shared" ref="G79:G80" si="81">100*((C79/C55)-1)</f>
        <v>11.012658227848092</v>
      </c>
      <c r="H79" s="41">
        <f t="shared" si="61"/>
        <v>0.99686431014823274</v>
      </c>
      <c r="I79" s="36"/>
      <c r="J79" s="36"/>
      <c r="K79" s="36"/>
    </row>
    <row r="80" spans="1:11" x14ac:dyDescent="0.25">
      <c r="A80" s="104" t="str">
        <f>Diesel_S500!B292</f>
        <v>MARÇO|18</v>
      </c>
      <c r="B80" s="105">
        <f>'[71]mar-18'!$C$9</f>
        <v>3.5040000000000004</v>
      </c>
      <c r="C80" s="106">
        <f t="shared" si="77"/>
        <v>167.71970132107981</v>
      </c>
      <c r="D80" s="22">
        <f t="shared" si="78"/>
        <v>-0.11402508551878743</v>
      </c>
      <c r="E80" s="23">
        <f t="shared" si="79"/>
        <v>9.8432601880877648</v>
      </c>
      <c r="F80" s="107">
        <f t="shared" si="80"/>
        <v>10.362204724409452</v>
      </c>
      <c r="G80" s="24">
        <f t="shared" si="81"/>
        <v>10.780904204868813</v>
      </c>
      <c r="H80" s="183">
        <f t="shared" si="61"/>
        <v>0.9980022831050227</v>
      </c>
      <c r="I80" s="36"/>
      <c r="J80" s="36"/>
      <c r="K80" s="36"/>
    </row>
    <row r="81" spans="1:12" ht="16.5" thickBot="1" x14ac:dyDescent="0.3">
      <c r="A81" s="131" t="str">
        <f>Diesel_S500!B293</f>
        <v>ABRIL|18</v>
      </c>
      <c r="B81" s="132">
        <v>3.4969999999999999</v>
      </c>
      <c r="C81" s="133">
        <f t="shared" ref="C81" si="82">100*B81/$B$8</f>
        <v>167.38464484013016</v>
      </c>
      <c r="D81" s="134">
        <f t="shared" ref="D81" si="83">100*((B81/B80)-1)</f>
        <v>-0.19977168949772972</v>
      </c>
      <c r="E81" s="135">
        <f t="shared" ref="E81" si="84">100*((B81/$B$65)-1)</f>
        <v>9.6238244514106341</v>
      </c>
      <c r="F81" s="136">
        <f t="shared" ref="F81" si="85">100*((B81/B69)-1)</f>
        <v>10.875079264426123</v>
      </c>
      <c r="G81" s="137">
        <f t="shared" ref="G81" si="86">100*((C81/C57)-1)</f>
        <v>10.524652338811634</v>
      </c>
      <c r="H81" s="138">
        <f t="shared" si="61"/>
        <v>1</v>
      </c>
      <c r="I81" s="36"/>
      <c r="J81" s="36"/>
      <c r="K81" s="36"/>
    </row>
    <row r="82" spans="1:12" x14ac:dyDescent="0.25">
      <c r="A82" s="25" t="s">
        <v>311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26"/>
    </row>
    <row r="83" spans="1:12" x14ac:dyDescent="0.25">
      <c r="A83" s="25" t="s">
        <v>310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26"/>
    </row>
    <row r="84" spans="1:12" x14ac:dyDescent="0.25">
      <c r="A84" s="45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26"/>
    </row>
    <row r="85" spans="1:12" x14ac:dyDescent="0.25">
      <c r="A85" s="46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26"/>
    </row>
    <row r="86" spans="1:12" x14ac:dyDescent="0.25">
      <c r="A86" s="47"/>
      <c r="B86" s="26"/>
      <c r="C86" s="26"/>
      <c r="D86" s="26"/>
      <c r="E86" s="26"/>
      <c r="F86" s="26"/>
      <c r="G86" s="26"/>
      <c r="H86" s="26"/>
      <c r="I86" s="44"/>
      <c r="J86" s="44"/>
      <c r="K86" s="44"/>
      <c r="L86" s="26"/>
    </row>
    <row r="87" spans="1:12" x14ac:dyDescent="0.25">
      <c r="B87" s="26"/>
      <c r="C87" s="26"/>
      <c r="D87" s="26"/>
      <c r="E87" s="26"/>
      <c r="F87" s="26"/>
      <c r="G87" s="26"/>
      <c r="H87" s="26"/>
      <c r="I87" s="44"/>
      <c r="J87" s="44"/>
      <c r="K87" s="44"/>
      <c r="L87" s="26"/>
    </row>
    <row r="88" spans="1:12" x14ac:dyDescent="0.25">
      <c r="B88" s="26"/>
      <c r="C88" s="26"/>
      <c r="D88" s="26"/>
      <c r="E88" s="26"/>
      <c r="F88" s="26"/>
      <c r="G88" s="26"/>
      <c r="H88" s="26"/>
      <c r="I88" s="44"/>
      <c r="J88" s="44"/>
      <c r="K88" s="44"/>
      <c r="L88" s="26"/>
    </row>
    <row r="89" spans="1:12" x14ac:dyDescent="0.25">
      <c r="A89" s="48"/>
      <c r="B89" s="26"/>
      <c r="C89" s="26"/>
      <c r="D89" s="26"/>
      <c r="E89" s="26"/>
      <c r="F89" s="26"/>
      <c r="G89" s="26"/>
      <c r="H89" s="26"/>
      <c r="I89" s="44"/>
      <c r="J89" s="44"/>
      <c r="K89" s="44"/>
      <c r="L89" s="26"/>
    </row>
    <row r="90" spans="1:12" x14ac:dyDescent="0.25">
      <c r="A90" s="48"/>
      <c r="B90" s="26"/>
      <c r="C90" s="26"/>
      <c r="D90" s="26"/>
      <c r="E90" s="26"/>
      <c r="F90" s="26"/>
      <c r="G90" s="26"/>
      <c r="H90" s="26"/>
      <c r="I90" s="44"/>
      <c r="J90" s="44"/>
      <c r="K90" s="44"/>
      <c r="L90" s="26"/>
    </row>
    <row r="91" spans="1:12" x14ac:dyDescent="0.25">
      <c r="B91" s="49"/>
      <c r="C91" s="49"/>
      <c r="D91" s="50"/>
      <c r="E91" s="49"/>
      <c r="F91" s="26"/>
      <c r="G91" s="26"/>
      <c r="H91" s="26"/>
      <c r="I91" s="44"/>
      <c r="J91" s="44"/>
      <c r="K91" s="44"/>
      <c r="L91" s="26"/>
    </row>
    <row r="92" spans="1:12" x14ac:dyDescent="0.25">
      <c r="B92" s="26"/>
      <c r="C92" s="26"/>
      <c r="D92" s="26"/>
      <c r="E92" s="26"/>
      <c r="F92" s="26"/>
      <c r="G92" s="26"/>
      <c r="H92" s="26"/>
      <c r="I92" s="44"/>
      <c r="J92" s="44"/>
      <c r="K92" s="44"/>
      <c r="L92" s="26"/>
    </row>
    <row r="93" spans="1:12" x14ac:dyDescent="0.25">
      <c r="B93" s="26"/>
      <c r="C93" s="26"/>
      <c r="D93" s="26"/>
      <c r="E93" s="26"/>
      <c r="F93" s="26"/>
      <c r="G93" s="26"/>
      <c r="H93" s="26"/>
      <c r="I93" s="44"/>
      <c r="J93" s="44"/>
      <c r="K93" s="44"/>
      <c r="L93" s="26"/>
    </row>
    <row r="94" spans="1:12" x14ac:dyDescent="0.25">
      <c r="B94" s="26"/>
      <c r="C94" s="26"/>
      <c r="D94" s="26"/>
      <c r="E94" s="26"/>
      <c r="F94" s="26"/>
      <c r="G94" s="26"/>
      <c r="H94" s="26"/>
      <c r="I94" s="44"/>
      <c r="J94" s="44"/>
      <c r="K94" s="44"/>
      <c r="L94" s="26"/>
    </row>
    <row r="95" spans="1:12" x14ac:dyDescent="0.25">
      <c r="B95" s="26"/>
      <c r="C95" s="26"/>
      <c r="D95" s="26"/>
      <c r="E95" s="26"/>
      <c r="F95" s="26"/>
      <c r="G95" s="26"/>
      <c r="H95" s="26"/>
      <c r="I95" s="44"/>
      <c r="J95" s="44"/>
      <c r="K95" s="44"/>
      <c r="L95" s="26"/>
    </row>
    <row r="96" spans="1:12" x14ac:dyDescent="0.25">
      <c r="B96" s="26"/>
      <c r="C96" s="26"/>
      <c r="D96" s="26"/>
      <c r="E96" s="26"/>
      <c r="F96" s="26"/>
      <c r="G96" s="26"/>
      <c r="H96" s="26"/>
      <c r="I96" s="44"/>
      <c r="J96" s="44"/>
      <c r="K96" s="44"/>
      <c r="L96" s="26"/>
    </row>
    <row r="97" spans="1:12" x14ac:dyDescent="0.25">
      <c r="B97" s="26"/>
      <c r="C97" s="26"/>
      <c r="D97" s="26"/>
      <c r="E97" s="26"/>
      <c r="F97" s="26"/>
      <c r="G97" s="26"/>
      <c r="H97" s="26"/>
      <c r="I97" s="44"/>
      <c r="J97" s="44"/>
      <c r="K97" s="44"/>
      <c r="L97" s="26"/>
    </row>
    <row r="98" spans="1:12" x14ac:dyDescent="0.25">
      <c r="B98" s="26"/>
      <c r="C98" s="26"/>
      <c r="D98" s="26"/>
      <c r="E98" s="26"/>
      <c r="F98" s="26"/>
      <c r="G98" s="26"/>
      <c r="H98" s="26"/>
      <c r="I98" s="44"/>
      <c r="J98" s="44"/>
      <c r="K98" s="44"/>
      <c r="L98" s="26"/>
    </row>
    <row r="99" spans="1:12" x14ac:dyDescent="0.25">
      <c r="B99" s="26"/>
      <c r="C99" s="26"/>
      <c r="D99" s="26"/>
      <c r="E99" s="26"/>
      <c r="F99" s="26"/>
      <c r="G99" s="26"/>
      <c r="H99" s="26"/>
      <c r="I99" s="44"/>
      <c r="J99" s="44"/>
      <c r="K99" s="44"/>
      <c r="L99" s="26"/>
    </row>
    <row r="100" spans="1:12" x14ac:dyDescent="0.25">
      <c r="B100" s="26"/>
      <c r="C100" s="26"/>
      <c r="D100" s="26"/>
      <c r="E100" s="26"/>
      <c r="F100" s="26"/>
      <c r="G100" s="26"/>
      <c r="H100" s="26"/>
      <c r="I100" s="44"/>
      <c r="J100" s="44"/>
      <c r="K100" s="44"/>
      <c r="L100" s="26"/>
    </row>
    <row r="101" spans="1:12" x14ac:dyDescent="0.25">
      <c r="B101" s="26"/>
      <c r="C101" s="26"/>
      <c r="D101" s="26"/>
      <c r="E101" s="26"/>
      <c r="F101" s="26"/>
      <c r="G101" s="26"/>
      <c r="H101" s="26"/>
      <c r="I101" s="44"/>
      <c r="J101" s="44"/>
      <c r="K101" s="44"/>
      <c r="L101" s="26"/>
    </row>
    <row r="102" spans="1:12" x14ac:dyDescent="0.25">
      <c r="B102" s="26"/>
      <c r="C102" s="26"/>
      <c r="D102" s="26"/>
      <c r="E102" s="26"/>
      <c r="F102" s="26"/>
      <c r="G102" s="26"/>
      <c r="H102" s="26"/>
      <c r="I102" s="44"/>
      <c r="J102" s="44"/>
      <c r="K102" s="44"/>
      <c r="L102" s="26"/>
    </row>
    <row r="103" spans="1:12" x14ac:dyDescent="0.25">
      <c r="A103" s="47"/>
      <c r="B103" s="26"/>
      <c r="C103" s="26"/>
      <c r="D103" s="26"/>
      <c r="E103" s="26"/>
      <c r="F103" s="26"/>
      <c r="G103" s="26"/>
      <c r="H103" s="26"/>
      <c r="I103" s="44"/>
      <c r="J103" s="44"/>
      <c r="K103" s="44"/>
      <c r="L103" s="26"/>
    </row>
    <row r="104" spans="1:12" x14ac:dyDescent="0.25">
      <c r="B104" s="26"/>
      <c r="C104" s="26"/>
      <c r="D104" s="26"/>
      <c r="E104" s="26"/>
      <c r="F104" s="26"/>
      <c r="G104" s="26"/>
      <c r="H104" s="26"/>
      <c r="I104" s="44"/>
      <c r="J104" s="44"/>
      <c r="K104" s="44"/>
      <c r="L104" s="26"/>
    </row>
    <row r="105" spans="1:12" x14ac:dyDescent="0.25">
      <c r="B105" s="26"/>
      <c r="C105" s="26"/>
      <c r="D105" s="26"/>
      <c r="E105" s="26"/>
      <c r="F105" s="26"/>
      <c r="G105" s="26"/>
      <c r="H105" s="26"/>
      <c r="I105" s="44"/>
      <c r="J105" s="44"/>
      <c r="K105" s="44"/>
      <c r="L105" s="26"/>
    </row>
    <row r="106" spans="1:12" x14ac:dyDescent="0.25">
      <c r="A106" s="48"/>
      <c r="B106" s="26"/>
      <c r="C106" s="26"/>
      <c r="D106" s="26"/>
      <c r="E106" s="26"/>
      <c r="F106" s="26"/>
      <c r="G106" s="26"/>
      <c r="H106" s="26"/>
      <c r="I106" s="44"/>
      <c r="J106" s="44"/>
      <c r="K106" s="44"/>
      <c r="L106" s="26"/>
    </row>
    <row r="107" spans="1:12" x14ac:dyDescent="0.25">
      <c r="A107" s="48"/>
      <c r="B107" s="26"/>
      <c r="C107" s="26"/>
      <c r="D107" s="26"/>
      <c r="E107" s="26"/>
      <c r="F107" s="26"/>
      <c r="G107" s="26"/>
      <c r="H107" s="26"/>
      <c r="I107" s="44"/>
      <c r="J107" s="44"/>
      <c r="K107" s="44"/>
      <c r="L107" s="26"/>
    </row>
    <row r="108" spans="1:12" x14ac:dyDescent="0.25">
      <c r="B108" s="49"/>
      <c r="C108" s="49"/>
      <c r="D108" s="50"/>
      <c r="E108" s="49"/>
      <c r="F108" s="26"/>
      <c r="G108" s="26"/>
      <c r="H108" s="26"/>
      <c r="I108" s="44"/>
      <c r="J108" s="44"/>
      <c r="K108" s="44"/>
      <c r="L108" s="26"/>
    </row>
    <row r="109" spans="1:12" x14ac:dyDescent="0.25">
      <c r="B109" s="26"/>
      <c r="C109" s="26"/>
      <c r="D109" s="26"/>
      <c r="E109" s="26"/>
      <c r="F109" s="26"/>
      <c r="G109" s="26"/>
      <c r="H109" s="26"/>
      <c r="I109" s="44"/>
      <c r="J109" s="44"/>
      <c r="K109" s="44"/>
      <c r="L109" s="26"/>
    </row>
    <row r="110" spans="1:12" x14ac:dyDescent="0.25">
      <c r="B110" s="26"/>
      <c r="C110" s="26"/>
      <c r="D110" s="26"/>
      <c r="E110" s="26"/>
      <c r="F110" s="26"/>
      <c r="G110" s="26"/>
      <c r="H110" s="26"/>
      <c r="I110" s="44"/>
      <c r="J110" s="44"/>
      <c r="K110" s="44"/>
      <c r="L110" s="26"/>
    </row>
    <row r="111" spans="1:12" x14ac:dyDescent="0.25">
      <c r="B111" s="26"/>
      <c r="C111" s="26"/>
      <c r="D111" s="26"/>
      <c r="E111" s="26"/>
      <c r="F111" s="26"/>
      <c r="G111" s="26"/>
      <c r="H111" s="26"/>
      <c r="I111" s="44"/>
      <c r="J111" s="44"/>
      <c r="K111" s="44"/>
      <c r="L111" s="26"/>
    </row>
    <row r="112" spans="1:12" x14ac:dyDescent="0.25">
      <c r="B112" s="26"/>
      <c r="C112" s="26"/>
      <c r="D112" s="26"/>
      <c r="E112" s="26"/>
      <c r="F112" s="26"/>
      <c r="G112" s="26"/>
      <c r="H112" s="26"/>
      <c r="I112" s="44"/>
      <c r="J112" s="44"/>
      <c r="K112" s="44"/>
      <c r="L112" s="26"/>
    </row>
    <row r="113" spans="1:12" x14ac:dyDescent="0.25">
      <c r="B113" s="26"/>
      <c r="C113" s="26"/>
      <c r="D113" s="26"/>
      <c r="E113" s="26"/>
      <c r="F113" s="26"/>
      <c r="G113" s="26"/>
      <c r="H113" s="26"/>
      <c r="I113" s="44"/>
      <c r="J113" s="44"/>
      <c r="K113" s="44"/>
      <c r="L113" s="26"/>
    </row>
    <row r="114" spans="1:12" x14ac:dyDescent="0.25">
      <c r="B114" s="26"/>
      <c r="C114" s="26"/>
      <c r="D114" s="26"/>
      <c r="E114" s="26"/>
      <c r="F114" s="26"/>
      <c r="G114" s="26"/>
      <c r="H114" s="26"/>
      <c r="I114" s="44"/>
      <c r="J114" s="44"/>
      <c r="K114" s="44"/>
      <c r="L114" s="26"/>
    </row>
    <row r="115" spans="1:12" x14ac:dyDescent="0.25">
      <c r="B115" s="26"/>
      <c r="C115" s="26"/>
      <c r="D115" s="26"/>
      <c r="E115" s="26"/>
      <c r="F115" s="26"/>
      <c r="G115" s="26"/>
      <c r="H115" s="26"/>
      <c r="I115" s="44"/>
      <c r="J115" s="44"/>
      <c r="K115" s="44"/>
      <c r="L115" s="26"/>
    </row>
    <row r="116" spans="1:12" x14ac:dyDescent="0.25">
      <c r="B116" s="26"/>
      <c r="C116" s="26"/>
      <c r="D116" s="26"/>
      <c r="E116" s="26"/>
      <c r="F116" s="26"/>
      <c r="G116" s="26"/>
      <c r="H116" s="26"/>
      <c r="I116" s="44"/>
      <c r="J116" s="44"/>
      <c r="K116" s="44"/>
      <c r="L116" s="26"/>
    </row>
    <row r="117" spans="1:12" x14ac:dyDescent="0.25">
      <c r="B117" s="26"/>
      <c r="C117" s="26"/>
      <c r="D117" s="26"/>
      <c r="E117" s="26"/>
      <c r="F117" s="26"/>
      <c r="G117" s="26"/>
      <c r="H117" s="26"/>
      <c r="I117" s="44"/>
      <c r="J117" s="44"/>
      <c r="K117" s="44"/>
      <c r="L117" s="26"/>
    </row>
    <row r="118" spans="1:12" x14ac:dyDescent="0.25">
      <c r="B118" s="26"/>
      <c r="C118" s="26"/>
      <c r="D118" s="26"/>
      <c r="E118" s="26"/>
      <c r="F118" s="26"/>
      <c r="G118" s="26"/>
      <c r="H118" s="26"/>
      <c r="I118" s="44"/>
      <c r="J118" s="44"/>
      <c r="K118" s="44"/>
      <c r="L118" s="26"/>
    </row>
    <row r="119" spans="1:12" x14ac:dyDescent="0.25">
      <c r="B119" s="26"/>
      <c r="C119" s="26"/>
      <c r="D119" s="26"/>
      <c r="E119" s="26"/>
      <c r="F119" s="26"/>
      <c r="G119" s="26"/>
      <c r="H119" s="26"/>
      <c r="I119" s="44"/>
      <c r="J119" s="44"/>
      <c r="K119" s="44"/>
      <c r="L119" s="26"/>
    </row>
    <row r="120" spans="1:12" x14ac:dyDescent="0.25">
      <c r="A120" s="47"/>
      <c r="B120" s="26"/>
      <c r="C120" s="26"/>
      <c r="D120" s="26"/>
      <c r="E120" s="26"/>
      <c r="F120" s="26"/>
      <c r="G120" s="26"/>
      <c r="H120" s="26"/>
      <c r="I120" s="44"/>
      <c r="J120" s="44"/>
      <c r="K120" s="44"/>
      <c r="L120" s="26"/>
    </row>
    <row r="121" spans="1:12" x14ac:dyDescent="0.25">
      <c r="B121" s="26"/>
      <c r="C121" s="26"/>
      <c r="D121" s="26"/>
      <c r="E121" s="26"/>
      <c r="F121" s="26"/>
      <c r="G121" s="26"/>
      <c r="H121" s="26"/>
      <c r="I121" s="44"/>
      <c r="J121" s="44"/>
      <c r="K121" s="44"/>
      <c r="L121" s="26"/>
    </row>
    <row r="122" spans="1:12" x14ac:dyDescent="0.25">
      <c r="B122" s="26"/>
      <c r="C122" s="26"/>
      <c r="D122" s="26"/>
      <c r="E122" s="26"/>
      <c r="F122" s="26"/>
      <c r="G122" s="26"/>
      <c r="H122" s="26"/>
      <c r="I122" s="44"/>
      <c r="J122" s="44"/>
      <c r="K122" s="44"/>
      <c r="L122" s="26"/>
    </row>
    <row r="123" spans="1:12" x14ac:dyDescent="0.25">
      <c r="B123" s="26"/>
      <c r="C123" s="26"/>
      <c r="D123" s="26"/>
      <c r="E123" s="26"/>
      <c r="F123" s="26"/>
      <c r="G123" s="26"/>
      <c r="H123" s="26"/>
      <c r="I123" s="44"/>
      <c r="J123" s="44"/>
      <c r="K123" s="44"/>
      <c r="L123" s="26"/>
    </row>
    <row r="124" spans="1:12" x14ac:dyDescent="0.25">
      <c r="B124" s="26"/>
      <c r="C124" s="26"/>
      <c r="D124" s="26"/>
      <c r="E124" s="26"/>
      <c r="F124" s="26"/>
      <c r="G124" s="26"/>
      <c r="H124" s="26"/>
      <c r="I124" s="44"/>
      <c r="J124" s="44"/>
      <c r="K124" s="44"/>
      <c r="L124" s="26"/>
    </row>
    <row r="125" spans="1:12" x14ac:dyDescent="0.25">
      <c r="B125" s="26"/>
      <c r="C125" s="26"/>
      <c r="D125" s="26"/>
      <c r="E125" s="26"/>
      <c r="F125" s="26"/>
      <c r="G125" s="26"/>
      <c r="H125" s="26"/>
      <c r="I125" s="44"/>
      <c r="J125" s="44"/>
      <c r="K125" s="44"/>
      <c r="L125" s="26"/>
    </row>
    <row r="126" spans="1:12" x14ac:dyDescent="0.25">
      <c r="B126" s="26"/>
      <c r="C126" s="26"/>
      <c r="D126" s="26"/>
      <c r="E126" s="26"/>
      <c r="F126" s="26"/>
      <c r="G126" s="26"/>
      <c r="H126" s="26"/>
      <c r="I126" s="44"/>
      <c r="J126" s="44"/>
      <c r="K126" s="44"/>
      <c r="L126" s="26"/>
    </row>
    <row r="127" spans="1:12" x14ac:dyDescent="0.25">
      <c r="B127" s="26"/>
      <c r="C127" s="26"/>
      <c r="D127" s="26"/>
      <c r="E127" s="26"/>
      <c r="F127" s="26"/>
      <c r="G127" s="26"/>
      <c r="H127" s="26"/>
      <c r="I127" s="44"/>
      <c r="J127" s="44"/>
      <c r="K127" s="44"/>
      <c r="L127" s="26"/>
    </row>
    <row r="128" spans="1:12" x14ac:dyDescent="0.25">
      <c r="B128" s="26"/>
      <c r="C128" s="26"/>
      <c r="D128" s="26"/>
      <c r="E128" s="26"/>
      <c r="F128" s="26"/>
      <c r="G128" s="26"/>
      <c r="H128" s="26"/>
      <c r="I128" s="44"/>
      <c r="J128" s="44"/>
      <c r="K128" s="44"/>
      <c r="L128" s="26"/>
    </row>
    <row r="129" spans="2:12" x14ac:dyDescent="0.25">
      <c r="B129" s="26"/>
      <c r="C129" s="26"/>
      <c r="D129" s="26"/>
      <c r="E129" s="26"/>
      <c r="F129" s="26"/>
      <c r="G129" s="26"/>
      <c r="H129" s="26"/>
      <c r="I129" s="44"/>
      <c r="J129" s="44"/>
      <c r="K129" s="44"/>
      <c r="L129" s="26"/>
    </row>
    <row r="130" spans="2:12" x14ac:dyDescent="0.25">
      <c r="B130" s="26"/>
      <c r="C130" s="26"/>
      <c r="D130" s="26"/>
      <c r="E130" s="26"/>
      <c r="F130" s="26"/>
      <c r="G130" s="26"/>
      <c r="H130" s="26"/>
      <c r="I130" s="44"/>
      <c r="J130" s="44"/>
      <c r="K130" s="44"/>
      <c r="L130" s="26"/>
    </row>
    <row r="131" spans="2:12" x14ac:dyDescent="0.25">
      <c r="B131" s="26"/>
      <c r="C131" s="26"/>
      <c r="D131" s="26"/>
      <c r="E131" s="26"/>
      <c r="F131" s="26"/>
      <c r="G131" s="26"/>
      <c r="H131" s="26"/>
      <c r="I131" s="44"/>
      <c r="J131" s="44"/>
      <c r="K131" s="44"/>
      <c r="L131" s="26"/>
    </row>
    <row r="132" spans="2:12" x14ac:dyDescent="0.25">
      <c r="B132" s="26"/>
      <c r="C132" s="26"/>
      <c r="D132" s="26"/>
      <c r="E132" s="26"/>
      <c r="F132" s="26"/>
      <c r="G132" s="26"/>
      <c r="H132" s="26"/>
      <c r="I132" s="44"/>
      <c r="J132" s="44"/>
      <c r="K132" s="44"/>
      <c r="L132" s="26"/>
    </row>
    <row r="133" spans="2:12" x14ac:dyDescent="0.25">
      <c r="B133" s="26"/>
      <c r="C133" s="26"/>
      <c r="D133" s="26"/>
      <c r="E133" s="26"/>
      <c r="F133" s="26"/>
      <c r="G133" s="26"/>
      <c r="H133" s="26"/>
      <c r="I133" s="44"/>
      <c r="J133" s="44"/>
      <c r="K133" s="44"/>
      <c r="L133" s="26"/>
    </row>
    <row r="134" spans="2:12" x14ac:dyDescent="0.25">
      <c r="B134" s="26"/>
      <c r="C134" s="26"/>
      <c r="D134" s="26"/>
      <c r="E134" s="26"/>
      <c r="F134" s="26"/>
      <c r="G134" s="26"/>
      <c r="H134" s="26"/>
      <c r="I134" s="44"/>
      <c r="J134" s="44"/>
      <c r="K134" s="44"/>
      <c r="L134" s="26"/>
    </row>
    <row r="135" spans="2:12" x14ac:dyDescent="0.25">
      <c r="B135" s="26"/>
      <c r="C135" s="26"/>
      <c r="D135" s="26"/>
      <c r="E135" s="26"/>
      <c r="F135" s="26"/>
      <c r="G135" s="26"/>
      <c r="H135" s="26"/>
      <c r="I135" s="44"/>
      <c r="J135" s="44"/>
      <c r="K135" s="44"/>
      <c r="L135" s="26"/>
    </row>
    <row r="136" spans="2:12" x14ac:dyDescent="0.25">
      <c r="B136" s="26"/>
      <c r="C136" s="26"/>
      <c r="D136" s="26"/>
      <c r="E136" s="26"/>
      <c r="F136" s="26"/>
      <c r="G136" s="26"/>
      <c r="H136" s="26"/>
      <c r="I136" s="44"/>
      <c r="J136" s="44"/>
      <c r="K136" s="44"/>
      <c r="L136" s="26"/>
    </row>
    <row r="137" spans="2:12" x14ac:dyDescent="0.25">
      <c r="B137" s="26"/>
      <c r="C137" s="26"/>
      <c r="D137" s="26"/>
      <c r="E137" s="26"/>
      <c r="F137" s="26"/>
      <c r="G137" s="26"/>
      <c r="H137" s="26"/>
      <c r="I137" s="44"/>
      <c r="J137" s="44"/>
      <c r="K137" s="44"/>
      <c r="L137" s="26"/>
    </row>
    <row r="138" spans="2:12" x14ac:dyDescent="0.25">
      <c r="B138" s="26"/>
      <c r="C138" s="26"/>
      <c r="D138" s="26"/>
      <c r="E138" s="26"/>
      <c r="F138" s="26"/>
      <c r="G138" s="26"/>
      <c r="H138" s="26"/>
      <c r="I138" s="44"/>
      <c r="J138" s="44"/>
      <c r="K138" s="44"/>
      <c r="L138" s="26"/>
    </row>
    <row r="139" spans="2:12" x14ac:dyDescent="0.25">
      <c r="B139" s="26"/>
      <c r="C139" s="26"/>
      <c r="D139" s="26"/>
      <c r="E139" s="26"/>
      <c r="F139" s="26"/>
      <c r="G139" s="26"/>
      <c r="H139" s="26"/>
      <c r="I139" s="44"/>
      <c r="J139" s="44"/>
      <c r="K139" s="44"/>
      <c r="L139" s="26"/>
    </row>
    <row r="140" spans="2:12" x14ac:dyDescent="0.25">
      <c r="B140" s="26"/>
      <c r="C140" s="26"/>
      <c r="D140" s="26"/>
      <c r="E140" s="26"/>
      <c r="F140" s="26"/>
      <c r="G140" s="26"/>
      <c r="H140" s="26"/>
      <c r="I140" s="44"/>
      <c r="J140" s="44"/>
      <c r="K140" s="44"/>
      <c r="L140" s="26"/>
    </row>
    <row r="141" spans="2:12" x14ac:dyDescent="0.25">
      <c r="B141" s="26"/>
      <c r="C141" s="26"/>
      <c r="D141" s="26"/>
      <c r="E141" s="26"/>
      <c r="F141" s="26"/>
      <c r="G141" s="26"/>
      <c r="H141" s="26"/>
      <c r="I141" s="44"/>
      <c r="J141" s="44"/>
      <c r="K141" s="44"/>
      <c r="L141" s="26"/>
    </row>
    <row r="142" spans="2:12" x14ac:dyDescent="0.25">
      <c r="B142" s="26"/>
      <c r="C142" s="26"/>
      <c r="D142" s="26"/>
      <c r="E142" s="26"/>
      <c r="F142" s="26"/>
      <c r="G142" s="26"/>
      <c r="H142" s="26"/>
      <c r="I142" s="44"/>
      <c r="J142" s="44"/>
      <c r="K142" s="44"/>
      <c r="L142" s="26"/>
    </row>
    <row r="143" spans="2:12" x14ac:dyDescent="0.25">
      <c r="B143" s="26"/>
      <c r="C143" s="26"/>
      <c r="D143" s="26"/>
      <c r="E143" s="26"/>
      <c r="F143" s="26"/>
      <c r="G143" s="26"/>
      <c r="H143" s="26"/>
      <c r="I143" s="44"/>
      <c r="J143" s="44"/>
      <c r="K143" s="44"/>
      <c r="L143" s="26"/>
    </row>
    <row r="144" spans="2:12" x14ac:dyDescent="0.25">
      <c r="B144" s="26"/>
      <c r="C144" s="26"/>
      <c r="D144" s="26"/>
      <c r="E144" s="26"/>
      <c r="F144" s="26"/>
      <c r="G144" s="26"/>
      <c r="H144" s="26"/>
      <c r="I144" s="44"/>
      <c r="J144" s="44"/>
      <c r="K144" s="44"/>
      <c r="L144" s="26"/>
    </row>
    <row r="145" spans="2:12" x14ac:dyDescent="0.25">
      <c r="B145" s="26"/>
      <c r="C145" s="26"/>
      <c r="D145" s="26"/>
      <c r="E145" s="26"/>
      <c r="F145" s="26"/>
      <c r="G145" s="26"/>
      <c r="H145" s="26"/>
      <c r="I145" s="44"/>
      <c r="J145" s="44"/>
      <c r="K145" s="44"/>
      <c r="L145" s="26"/>
    </row>
    <row r="146" spans="2:12" x14ac:dyDescent="0.25">
      <c r="B146" s="26"/>
      <c r="C146" s="26"/>
      <c r="D146" s="26"/>
      <c r="E146" s="26"/>
      <c r="F146" s="26"/>
      <c r="G146" s="26"/>
      <c r="H146" s="26"/>
      <c r="I146" s="44"/>
      <c r="J146" s="44"/>
      <c r="K146" s="44"/>
      <c r="L146" s="26"/>
    </row>
    <row r="147" spans="2:12" x14ac:dyDescent="0.25">
      <c r="B147" s="26"/>
      <c r="C147" s="26"/>
      <c r="D147" s="26"/>
      <c r="E147" s="26"/>
      <c r="F147" s="26"/>
      <c r="G147" s="26"/>
      <c r="H147" s="26"/>
      <c r="I147" s="44"/>
      <c r="J147" s="44"/>
      <c r="K147" s="44"/>
      <c r="L147" s="26"/>
    </row>
    <row r="148" spans="2:12" x14ac:dyDescent="0.25">
      <c r="B148" s="26"/>
      <c r="C148" s="26"/>
      <c r="D148" s="26"/>
      <c r="E148" s="26"/>
      <c r="F148" s="26"/>
      <c r="G148" s="26"/>
      <c r="H148" s="26"/>
      <c r="I148" s="44"/>
      <c r="J148" s="44"/>
      <c r="K148" s="44"/>
      <c r="L148" s="26"/>
    </row>
    <row r="149" spans="2:12" x14ac:dyDescent="0.25">
      <c r="B149" s="26"/>
      <c r="C149" s="26"/>
      <c r="D149" s="26"/>
      <c r="E149" s="26"/>
      <c r="F149" s="26"/>
      <c r="G149" s="26"/>
      <c r="H149" s="26"/>
      <c r="I149" s="44"/>
      <c r="J149" s="44"/>
      <c r="K149" s="44"/>
      <c r="L149" s="26"/>
    </row>
    <row r="150" spans="2:12" x14ac:dyDescent="0.25">
      <c r="B150" s="26"/>
      <c r="C150" s="26"/>
      <c r="D150" s="26"/>
      <c r="E150" s="26"/>
      <c r="F150" s="26"/>
      <c r="G150" s="26"/>
      <c r="H150" s="26"/>
      <c r="I150" s="44"/>
      <c r="J150" s="44"/>
      <c r="K150" s="44"/>
      <c r="L150" s="26"/>
    </row>
    <row r="151" spans="2:12" x14ac:dyDescent="0.25">
      <c r="B151" s="26"/>
      <c r="C151" s="26"/>
      <c r="D151" s="26"/>
      <c r="E151" s="26"/>
      <c r="F151" s="26"/>
      <c r="G151" s="26"/>
      <c r="H151" s="26"/>
      <c r="I151" s="44"/>
      <c r="J151" s="44"/>
      <c r="K151" s="44"/>
      <c r="L151" s="26"/>
    </row>
    <row r="152" spans="2:12" x14ac:dyDescent="0.25">
      <c r="B152" s="26"/>
      <c r="C152" s="26"/>
      <c r="D152" s="26"/>
      <c r="E152" s="26"/>
      <c r="F152" s="26"/>
      <c r="G152" s="26"/>
      <c r="H152" s="26"/>
      <c r="I152" s="44"/>
      <c r="J152" s="44"/>
      <c r="K152" s="44"/>
      <c r="L152" s="26"/>
    </row>
    <row r="153" spans="2:12" x14ac:dyDescent="0.25">
      <c r="B153" s="26"/>
      <c r="C153" s="26"/>
      <c r="D153" s="26"/>
      <c r="E153" s="26"/>
      <c r="F153" s="26"/>
      <c r="G153" s="26"/>
      <c r="H153" s="26"/>
      <c r="I153" s="44"/>
      <c r="J153" s="44"/>
      <c r="K153" s="44"/>
      <c r="L153" s="26"/>
    </row>
    <row r="154" spans="2:12" x14ac:dyDescent="0.25">
      <c r="B154" s="26"/>
      <c r="C154" s="26"/>
      <c r="D154" s="26"/>
      <c r="E154" s="26"/>
      <c r="F154" s="26"/>
      <c r="G154" s="26"/>
      <c r="H154" s="26"/>
      <c r="I154" s="44"/>
      <c r="J154" s="44"/>
      <c r="K154" s="44"/>
      <c r="L154" s="26"/>
    </row>
    <row r="155" spans="2:12" x14ac:dyDescent="0.25">
      <c r="B155" s="26"/>
      <c r="C155" s="26"/>
      <c r="D155" s="26"/>
      <c r="E155" s="26"/>
      <c r="F155" s="26"/>
      <c r="G155" s="26"/>
      <c r="H155" s="26"/>
      <c r="I155" s="44"/>
      <c r="J155" s="44"/>
      <c r="K155" s="44"/>
      <c r="L155" s="26"/>
    </row>
    <row r="156" spans="2:12" x14ac:dyDescent="0.25">
      <c r="B156" s="26"/>
      <c r="C156" s="26"/>
      <c r="D156" s="26"/>
      <c r="E156" s="26"/>
      <c r="F156" s="26"/>
      <c r="G156" s="26"/>
      <c r="H156" s="26"/>
      <c r="I156" s="44"/>
      <c r="J156" s="44"/>
      <c r="K156" s="44"/>
      <c r="L156" s="26"/>
    </row>
    <row r="157" spans="2:12" x14ac:dyDescent="0.25">
      <c r="B157" s="26"/>
      <c r="C157" s="26"/>
      <c r="D157" s="26"/>
      <c r="E157" s="26"/>
      <c r="F157" s="26"/>
      <c r="G157" s="26"/>
      <c r="H157" s="26"/>
      <c r="I157" s="44"/>
      <c r="J157" s="44"/>
      <c r="K157" s="44"/>
      <c r="L157" s="26"/>
    </row>
    <row r="158" spans="2:12" x14ac:dyDescent="0.25">
      <c r="B158" s="26"/>
      <c r="C158" s="26"/>
      <c r="D158" s="26"/>
      <c r="E158" s="26"/>
      <c r="F158" s="26"/>
      <c r="G158" s="26"/>
      <c r="H158" s="26"/>
      <c r="I158" s="44"/>
      <c r="J158" s="44"/>
      <c r="K158" s="44"/>
      <c r="L158" s="26"/>
    </row>
    <row r="159" spans="2:12" x14ac:dyDescent="0.25">
      <c r="B159" s="26"/>
      <c r="C159" s="26"/>
      <c r="D159" s="26"/>
      <c r="E159" s="26"/>
      <c r="F159" s="26"/>
      <c r="G159" s="26"/>
      <c r="H159" s="26"/>
      <c r="I159" s="44"/>
      <c r="J159" s="44"/>
      <c r="K159" s="44"/>
      <c r="L159" s="26"/>
    </row>
    <row r="160" spans="2:12" x14ac:dyDescent="0.25">
      <c r="B160" s="26"/>
      <c r="C160" s="26"/>
      <c r="D160" s="26"/>
      <c r="E160" s="26"/>
      <c r="F160" s="26"/>
      <c r="G160" s="26"/>
      <c r="H160" s="26"/>
      <c r="I160" s="44"/>
      <c r="J160" s="44"/>
      <c r="K160" s="44"/>
      <c r="L160" s="26"/>
    </row>
    <row r="161" spans="2:12" x14ac:dyDescent="0.25">
      <c r="B161" s="26"/>
      <c r="C161" s="26"/>
      <c r="D161" s="26"/>
      <c r="E161" s="26"/>
      <c r="F161" s="26"/>
      <c r="G161" s="26"/>
      <c r="H161" s="26"/>
      <c r="I161" s="44"/>
      <c r="J161" s="44"/>
      <c r="K161" s="44"/>
      <c r="L161" s="26"/>
    </row>
    <row r="162" spans="2:12" x14ac:dyDescent="0.25">
      <c r="B162" s="26"/>
      <c r="C162" s="26"/>
      <c r="D162" s="26"/>
      <c r="E162" s="26"/>
      <c r="F162" s="26"/>
      <c r="G162" s="26"/>
      <c r="H162" s="26"/>
      <c r="I162" s="44"/>
      <c r="J162" s="44"/>
      <c r="K162" s="44"/>
      <c r="L162" s="26"/>
    </row>
    <row r="163" spans="2:12" x14ac:dyDescent="0.25">
      <c r="B163" s="26"/>
      <c r="C163" s="26"/>
      <c r="D163" s="26"/>
      <c r="E163" s="26"/>
      <c r="F163" s="26"/>
      <c r="G163" s="26"/>
      <c r="H163" s="26"/>
      <c r="I163" s="44"/>
      <c r="J163" s="44"/>
      <c r="K163" s="44"/>
      <c r="L163" s="26"/>
    </row>
    <row r="164" spans="2:12" x14ac:dyDescent="0.25">
      <c r="B164" s="26"/>
      <c r="C164" s="26"/>
      <c r="D164" s="26"/>
      <c r="E164" s="26"/>
      <c r="F164" s="26"/>
      <c r="G164" s="26"/>
      <c r="H164" s="26"/>
      <c r="I164" s="44"/>
      <c r="J164" s="44"/>
      <c r="K164" s="44"/>
      <c r="L164" s="26"/>
    </row>
    <row r="165" spans="2:12" x14ac:dyDescent="0.25">
      <c r="B165" s="26"/>
      <c r="C165" s="26"/>
      <c r="D165" s="26"/>
      <c r="E165" s="26"/>
      <c r="F165" s="26"/>
      <c r="G165" s="26"/>
      <c r="H165" s="26"/>
      <c r="I165" s="44"/>
      <c r="J165" s="44"/>
      <c r="K165" s="44"/>
      <c r="L165" s="26"/>
    </row>
    <row r="166" spans="2:12" x14ac:dyDescent="0.25">
      <c r="B166" s="26"/>
      <c r="C166" s="26"/>
      <c r="D166" s="26"/>
      <c r="E166" s="26"/>
      <c r="F166" s="26"/>
      <c r="G166" s="26"/>
      <c r="H166" s="26"/>
      <c r="I166" s="44"/>
      <c r="J166" s="44"/>
      <c r="K166" s="44"/>
      <c r="L166" s="26"/>
    </row>
    <row r="167" spans="2:12" x14ac:dyDescent="0.25">
      <c r="B167" s="26"/>
      <c r="C167" s="26"/>
      <c r="D167" s="26"/>
      <c r="E167" s="26"/>
      <c r="F167" s="26"/>
      <c r="G167" s="26"/>
      <c r="H167" s="26"/>
      <c r="I167" s="44"/>
      <c r="J167" s="44"/>
      <c r="K167" s="44"/>
      <c r="L167" s="26"/>
    </row>
    <row r="168" spans="2:12" x14ac:dyDescent="0.25">
      <c r="B168" s="26"/>
      <c r="C168" s="26"/>
      <c r="D168" s="26"/>
      <c r="E168" s="26"/>
      <c r="F168" s="26"/>
      <c r="G168" s="26"/>
      <c r="H168" s="26"/>
      <c r="I168" s="44"/>
      <c r="J168" s="44"/>
      <c r="K168" s="44"/>
      <c r="L168" s="26"/>
    </row>
    <row r="169" spans="2:12" x14ac:dyDescent="0.25">
      <c r="B169" s="26"/>
      <c r="C169" s="26"/>
      <c r="D169" s="26"/>
      <c r="E169" s="26"/>
      <c r="F169" s="26"/>
      <c r="G169" s="26"/>
      <c r="H169" s="26"/>
      <c r="I169" s="44"/>
      <c r="J169" s="44"/>
      <c r="K169" s="44"/>
      <c r="L169" s="26"/>
    </row>
    <row r="170" spans="2:12" x14ac:dyDescent="0.25">
      <c r="B170" s="26"/>
      <c r="C170" s="26"/>
      <c r="D170" s="26"/>
      <c r="E170" s="26"/>
      <c r="F170" s="26"/>
      <c r="G170" s="26"/>
      <c r="H170" s="26"/>
      <c r="I170" s="44"/>
      <c r="J170" s="44"/>
      <c r="K170" s="44"/>
      <c r="L170" s="26"/>
    </row>
    <row r="171" spans="2:12" x14ac:dyDescent="0.25">
      <c r="B171" s="26"/>
      <c r="C171" s="26"/>
      <c r="D171" s="26"/>
      <c r="E171" s="26"/>
      <c r="F171" s="26"/>
      <c r="G171" s="26"/>
      <c r="H171" s="26"/>
      <c r="I171" s="44"/>
      <c r="J171" s="44"/>
      <c r="K171" s="44"/>
      <c r="L171" s="26"/>
    </row>
    <row r="172" spans="2:12" x14ac:dyDescent="0.25">
      <c r="B172" s="26"/>
      <c r="C172" s="26"/>
      <c r="D172" s="26"/>
      <c r="E172" s="26"/>
      <c r="F172" s="26"/>
      <c r="G172" s="26"/>
      <c r="H172" s="26"/>
      <c r="I172" s="44"/>
      <c r="J172" s="44"/>
      <c r="K172" s="44"/>
      <c r="L172" s="26"/>
    </row>
    <row r="173" spans="2:12" x14ac:dyDescent="0.25">
      <c r="B173" s="26"/>
      <c r="C173" s="26"/>
      <c r="D173" s="26"/>
      <c r="E173" s="26"/>
      <c r="F173" s="26"/>
      <c r="G173" s="26"/>
      <c r="H173" s="26"/>
      <c r="I173" s="44"/>
      <c r="J173" s="44"/>
      <c r="K173" s="44"/>
      <c r="L173" s="26"/>
    </row>
    <row r="174" spans="2:12" x14ac:dyDescent="0.25">
      <c r="B174" s="26"/>
      <c r="C174" s="26"/>
      <c r="D174" s="26"/>
      <c r="E174" s="26"/>
      <c r="F174" s="26"/>
      <c r="G174" s="26"/>
      <c r="H174" s="26"/>
      <c r="I174" s="44"/>
      <c r="J174" s="44"/>
      <c r="K174" s="44"/>
      <c r="L174" s="26"/>
    </row>
    <row r="175" spans="2:12" x14ac:dyDescent="0.25">
      <c r="B175" s="26"/>
      <c r="C175" s="26"/>
      <c r="D175" s="26"/>
      <c r="E175" s="26"/>
      <c r="F175" s="26"/>
      <c r="G175" s="26"/>
      <c r="H175" s="26"/>
      <c r="I175" s="44"/>
      <c r="J175" s="44"/>
      <c r="K175" s="44"/>
      <c r="L175" s="26"/>
    </row>
    <row r="176" spans="2:12" x14ac:dyDescent="0.25">
      <c r="B176" s="26"/>
      <c r="C176" s="26"/>
      <c r="D176" s="26"/>
      <c r="E176" s="26"/>
      <c r="F176" s="26"/>
      <c r="G176" s="26"/>
      <c r="H176" s="26"/>
      <c r="I176" s="44"/>
      <c r="J176" s="44"/>
      <c r="K176" s="44"/>
      <c r="L176" s="26"/>
    </row>
    <row r="177" spans="2:12" x14ac:dyDescent="0.25">
      <c r="B177" s="26"/>
      <c r="C177" s="26"/>
      <c r="D177" s="26"/>
      <c r="E177" s="26"/>
      <c r="F177" s="26"/>
      <c r="G177" s="26"/>
      <c r="H177" s="26"/>
      <c r="I177" s="44"/>
      <c r="J177" s="44"/>
      <c r="K177" s="44"/>
      <c r="L177" s="26"/>
    </row>
    <row r="178" spans="2:12" x14ac:dyDescent="0.25">
      <c r="B178" s="26"/>
      <c r="C178" s="26"/>
      <c r="D178" s="26"/>
      <c r="E178" s="26"/>
      <c r="F178" s="26"/>
      <c r="G178" s="26"/>
      <c r="H178" s="26"/>
      <c r="I178" s="44"/>
      <c r="J178" s="44"/>
      <c r="K178" s="44"/>
      <c r="L178" s="26"/>
    </row>
    <row r="179" spans="2:12" x14ac:dyDescent="0.25">
      <c r="B179" s="26"/>
      <c r="C179" s="26"/>
      <c r="D179" s="26"/>
      <c r="E179" s="26"/>
      <c r="F179" s="26"/>
      <c r="G179" s="26"/>
      <c r="H179" s="26"/>
      <c r="I179" s="44"/>
      <c r="J179" s="44"/>
      <c r="K179" s="44"/>
      <c r="L179" s="26"/>
    </row>
    <row r="180" spans="2:12" x14ac:dyDescent="0.25">
      <c r="B180" s="26"/>
      <c r="C180" s="26"/>
      <c r="D180" s="26"/>
      <c r="E180" s="26"/>
      <c r="F180" s="26"/>
      <c r="G180" s="26"/>
      <c r="H180" s="26"/>
      <c r="I180" s="44"/>
      <c r="J180" s="44"/>
      <c r="K180" s="44"/>
      <c r="L180" s="26"/>
    </row>
    <row r="181" spans="2:12" x14ac:dyDescent="0.25">
      <c r="B181" s="26"/>
      <c r="C181" s="26"/>
      <c r="D181" s="26"/>
      <c r="E181" s="26"/>
      <c r="F181" s="26"/>
      <c r="G181" s="26"/>
      <c r="H181" s="26"/>
      <c r="I181" s="44"/>
      <c r="J181" s="44"/>
      <c r="K181" s="44"/>
      <c r="L181" s="26"/>
    </row>
    <row r="182" spans="2:12" x14ac:dyDescent="0.25">
      <c r="B182" s="26"/>
      <c r="C182" s="26"/>
      <c r="D182" s="26"/>
      <c r="E182" s="26"/>
      <c r="F182" s="26"/>
      <c r="G182" s="26"/>
      <c r="H182" s="26"/>
      <c r="I182" s="44"/>
      <c r="J182" s="44"/>
      <c r="K182" s="44"/>
      <c r="L182" s="26"/>
    </row>
    <row r="183" spans="2:12" x14ac:dyDescent="0.25">
      <c r="B183" s="26"/>
      <c r="C183" s="26"/>
      <c r="D183" s="26"/>
      <c r="E183" s="26"/>
      <c r="F183" s="26"/>
      <c r="G183" s="26"/>
      <c r="H183" s="26"/>
      <c r="I183" s="44"/>
      <c r="J183" s="44"/>
      <c r="K183" s="44"/>
      <c r="L183" s="26"/>
    </row>
    <row r="184" spans="2:12" x14ac:dyDescent="0.25">
      <c r="B184" s="26"/>
      <c r="C184" s="26"/>
      <c r="D184" s="26"/>
      <c r="E184" s="26"/>
      <c r="F184" s="26"/>
      <c r="G184" s="26"/>
      <c r="H184" s="26"/>
      <c r="I184" s="44"/>
      <c r="J184" s="44"/>
      <c r="K184" s="44"/>
      <c r="L184" s="26"/>
    </row>
    <row r="185" spans="2:12" x14ac:dyDescent="0.25">
      <c r="B185" s="26"/>
      <c r="C185" s="26"/>
      <c r="D185" s="26"/>
      <c r="E185" s="26"/>
      <c r="F185" s="26"/>
      <c r="G185" s="26"/>
      <c r="H185" s="26"/>
      <c r="I185" s="44"/>
      <c r="J185" s="44"/>
      <c r="K185" s="44"/>
      <c r="L185" s="26"/>
    </row>
    <row r="186" spans="2:12" x14ac:dyDescent="0.25">
      <c r="B186" s="26"/>
      <c r="C186" s="26"/>
      <c r="D186" s="26"/>
      <c r="E186" s="26"/>
      <c r="F186" s="26"/>
      <c r="G186" s="26"/>
      <c r="H186" s="26"/>
      <c r="I186" s="44"/>
      <c r="J186" s="44"/>
      <c r="K186" s="44"/>
      <c r="L186" s="26"/>
    </row>
    <row r="187" spans="2:12" x14ac:dyDescent="0.25">
      <c r="B187" s="26"/>
      <c r="C187" s="26"/>
      <c r="D187" s="26"/>
      <c r="E187" s="26"/>
      <c r="F187" s="26"/>
      <c r="G187" s="26"/>
      <c r="H187" s="26"/>
      <c r="I187" s="44"/>
      <c r="J187" s="44"/>
      <c r="K187" s="44"/>
      <c r="L187" s="26"/>
    </row>
    <row r="188" spans="2:12" x14ac:dyDescent="0.25">
      <c r="B188" s="26"/>
      <c r="C188" s="26"/>
      <c r="D188" s="26"/>
      <c r="E188" s="26"/>
      <c r="F188" s="26"/>
      <c r="G188" s="26"/>
      <c r="H188" s="26"/>
      <c r="I188" s="44"/>
      <c r="J188" s="44"/>
      <c r="K188" s="44"/>
      <c r="L188" s="26"/>
    </row>
    <row r="189" spans="2:12" x14ac:dyDescent="0.25">
      <c r="B189" s="26"/>
      <c r="C189" s="26"/>
      <c r="D189" s="26"/>
      <c r="E189" s="26"/>
      <c r="F189" s="26"/>
      <c r="G189" s="26"/>
      <c r="H189" s="26"/>
      <c r="I189" s="44"/>
      <c r="J189" s="44"/>
      <c r="K189" s="44"/>
      <c r="L189" s="26"/>
    </row>
    <row r="190" spans="2:12" x14ac:dyDescent="0.25">
      <c r="B190" s="26"/>
      <c r="C190" s="26"/>
      <c r="D190" s="26"/>
      <c r="E190" s="26"/>
      <c r="F190" s="26"/>
      <c r="G190" s="26"/>
      <c r="H190" s="26"/>
      <c r="I190" s="44"/>
      <c r="J190" s="44"/>
      <c r="K190" s="44"/>
      <c r="L190" s="26"/>
    </row>
    <row r="191" spans="2:12" x14ac:dyDescent="0.25">
      <c r="B191" s="26"/>
      <c r="C191" s="26"/>
      <c r="D191" s="26"/>
      <c r="E191" s="26"/>
      <c r="F191" s="26"/>
      <c r="G191" s="26"/>
      <c r="H191" s="26"/>
      <c r="I191" s="44"/>
      <c r="J191" s="44"/>
      <c r="K191" s="44"/>
      <c r="L191" s="26"/>
    </row>
    <row r="192" spans="2:12" x14ac:dyDescent="0.25">
      <c r="B192" s="26"/>
      <c r="C192" s="26"/>
      <c r="D192" s="26"/>
      <c r="E192" s="26"/>
      <c r="F192" s="26"/>
      <c r="G192" s="26"/>
      <c r="H192" s="26"/>
      <c r="I192" s="44"/>
      <c r="J192" s="44"/>
      <c r="K192" s="44"/>
      <c r="L192" s="26"/>
    </row>
    <row r="193" spans="2:12" x14ac:dyDescent="0.25">
      <c r="B193" s="26"/>
      <c r="C193" s="26"/>
      <c r="D193" s="26"/>
      <c r="E193" s="26"/>
      <c r="F193" s="26"/>
      <c r="G193" s="26"/>
      <c r="H193" s="26"/>
      <c r="I193" s="44"/>
      <c r="J193" s="44"/>
      <c r="K193" s="44"/>
      <c r="L193" s="26"/>
    </row>
    <row r="194" spans="2:12" x14ac:dyDescent="0.25">
      <c r="B194" s="26"/>
      <c r="C194" s="26"/>
      <c r="D194" s="26"/>
      <c r="E194" s="26"/>
      <c r="F194" s="26"/>
      <c r="G194" s="26"/>
      <c r="H194" s="26"/>
      <c r="I194" s="44"/>
      <c r="J194" s="44"/>
      <c r="K194" s="44"/>
      <c r="L194" s="26"/>
    </row>
    <row r="195" spans="2:12" x14ac:dyDescent="0.25">
      <c r="B195" s="26"/>
      <c r="C195" s="26"/>
      <c r="D195" s="26"/>
      <c r="E195" s="26"/>
      <c r="F195" s="26"/>
      <c r="G195" s="26"/>
      <c r="H195" s="26"/>
      <c r="I195" s="44"/>
      <c r="J195" s="44"/>
      <c r="K195" s="44"/>
      <c r="L195" s="26"/>
    </row>
    <row r="196" spans="2:12" x14ac:dyDescent="0.25">
      <c r="B196" s="26"/>
      <c r="C196" s="26"/>
      <c r="D196" s="26"/>
      <c r="E196" s="26"/>
      <c r="F196" s="26"/>
      <c r="G196" s="26"/>
      <c r="H196" s="26"/>
      <c r="I196" s="44"/>
      <c r="J196" s="44"/>
      <c r="K196" s="44"/>
      <c r="L196" s="26"/>
    </row>
    <row r="197" spans="2:12" x14ac:dyDescent="0.25">
      <c r="B197" s="26"/>
      <c r="C197" s="26"/>
      <c r="D197" s="26"/>
      <c r="E197" s="26"/>
      <c r="F197" s="26"/>
      <c r="G197" s="26"/>
      <c r="H197" s="26"/>
      <c r="I197" s="44"/>
      <c r="J197" s="44"/>
      <c r="K197" s="44"/>
      <c r="L197" s="26"/>
    </row>
    <row r="198" spans="2:12" x14ac:dyDescent="0.25">
      <c r="B198" s="26"/>
      <c r="C198" s="26"/>
      <c r="D198" s="26"/>
      <c r="E198" s="26"/>
      <c r="F198" s="26"/>
      <c r="G198" s="26"/>
      <c r="H198" s="26"/>
      <c r="I198" s="44"/>
      <c r="J198" s="44"/>
      <c r="K198" s="44"/>
      <c r="L198" s="26"/>
    </row>
    <row r="199" spans="2:12" x14ac:dyDescent="0.25">
      <c r="B199" s="26"/>
      <c r="C199" s="26"/>
      <c r="D199" s="26"/>
      <c r="E199" s="26"/>
      <c r="F199" s="26"/>
      <c r="G199" s="26"/>
      <c r="H199" s="26"/>
      <c r="I199" s="44"/>
      <c r="J199" s="44"/>
      <c r="K199" s="44"/>
      <c r="L199" s="26"/>
    </row>
    <row r="200" spans="2:12" x14ac:dyDescent="0.25">
      <c r="B200" s="26"/>
      <c r="C200" s="26"/>
      <c r="D200" s="26"/>
      <c r="E200" s="26"/>
      <c r="F200" s="26"/>
      <c r="G200" s="26"/>
      <c r="H200" s="26"/>
      <c r="I200" s="44"/>
      <c r="J200" s="44"/>
      <c r="K200" s="44"/>
      <c r="L200" s="26"/>
    </row>
    <row r="201" spans="2:12" x14ac:dyDescent="0.25">
      <c r="B201" s="26"/>
      <c r="C201" s="26"/>
      <c r="D201" s="26"/>
      <c r="E201" s="26"/>
      <c r="F201" s="26"/>
      <c r="G201" s="26"/>
      <c r="H201" s="26"/>
      <c r="I201" s="44"/>
      <c r="J201" s="44"/>
      <c r="K201" s="44"/>
      <c r="L201" s="26"/>
    </row>
    <row r="202" spans="2:12" x14ac:dyDescent="0.25">
      <c r="B202" s="26"/>
      <c r="C202" s="26"/>
      <c r="D202" s="26"/>
      <c r="E202" s="26"/>
      <c r="F202" s="26"/>
      <c r="G202" s="26"/>
      <c r="H202" s="26"/>
      <c r="I202" s="44"/>
      <c r="J202" s="44"/>
      <c r="K202" s="44"/>
      <c r="L202" s="26"/>
    </row>
    <row r="203" spans="2:12" x14ac:dyDescent="0.25">
      <c r="B203" s="26"/>
      <c r="C203" s="26"/>
      <c r="D203" s="26"/>
      <c r="E203" s="26"/>
      <c r="F203" s="26"/>
      <c r="G203" s="26"/>
      <c r="H203" s="26"/>
      <c r="I203" s="44"/>
      <c r="J203" s="44"/>
      <c r="K203" s="44"/>
      <c r="L203" s="26"/>
    </row>
    <row r="204" spans="2:12" x14ac:dyDescent="0.25">
      <c r="B204" s="26"/>
      <c r="C204" s="26"/>
      <c r="D204" s="26"/>
      <c r="E204" s="26"/>
      <c r="F204" s="26"/>
      <c r="G204" s="26"/>
      <c r="H204" s="26"/>
      <c r="I204" s="44"/>
      <c r="J204" s="44"/>
      <c r="K204" s="44"/>
      <c r="L204" s="26"/>
    </row>
    <row r="205" spans="2:12" x14ac:dyDescent="0.25">
      <c r="B205" s="26"/>
      <c r="C205" s="26"/>
      <c r="D205" s="26"/>
      <c r="E205" s="26"/>
      <c r="F205" s="26"/>
      <c r="G205" s="26"/>
      <c r="H205" s="26"/>
      <c r="I205" s="44"/>
      <c r="J205" s="44"/>
      <c r="K205" s="44"/>
      <c r="L205" s="26"/>
    </row>
    <row r="206" spans="2:12" x14ac:dyDescent="0.25">
      <c r="B206" s="26"/>
      <c r="C206" s="26"/>
      <c r="D206" s="26"/>
      <c r="E206" s="26"/>
      <c r="F206" s="26"/>
      <c r="G206" s="26"/>
      <c r="H206" s="26"/>
      <c r="I206" s="44"/>
      <c r="J206" s="44"/>
      <c r="K206" s="44"/>
      <c r="L206" s="26"/>
    </row>
    <row r="207" spans="2:12" x14ac:dyDescent="0.25">
      <c r="B207" s="26"/>
      <c r="C207" s="26"/>
      <c r="D207" s="26"/>
      <c r="E207" s="26"/>
      <c r="F207" s="26"/>
      <c r="G207" s="26"/>
      <c r="H207" s="26"/>
      <c r="I207" s="44"/>
      <c r="J207" s="44"/>
      <c r="K207" s="44"/>
      <c r="L207" s="26"/>
    </row>
    <row r="208" spans="2:12" x14ac:dyDescent="0.25">
      <c r="B208" s="26"/>
      <c r="C208" s="26"/>
      <c r="D208" s="26"/>
      <c r="E208" s="26"/>
      <c r="F208" s="26"/>
      <c r="G208" s="26"/>
      <c r="H208" s="26"/>
      <c r="I208" s="44"/>
      <c r="J208" s="44"/>
      <c r="K208" s="44"/>
      <c r="L208" s="26"/>
    </row>
    <row r="209" spans="2:12" x14ac:dyDescent="0.25">
      <c r="B209" s="26"/>
      <c r="C209" s="26"/>
      <c r="D209" s="26"/>
      <c r="E209" s="26"/>
      <c r="F209" s="26"/>
      <c r="G209" s="26"/>
      <c r="H209" s="26"/>
      <c r="I209" s="44"/>
      <c r="J209" s="44"/>
      <c r="K209" s="44"/>
      <c r="L209" s="26"/>
    </row>
    <row r="210" spans="2:12" x14ac:dyDescent="0.25">
      <c r="B210" s="26"/>
      <c r="C210" s="26"/>
      <c r="D210" s="26"/>
      <c r="E210" s="26"/>
      <c r="F210" s="26"/>
      <c r="G210" s="26"/>
      <c r="H210" s="26"/>
      <c r="I210" s="44"/>
      <c r="J210" s="44"/>
      <c r="K210" s="44"/>
      <c r="L210" s="26"/>
    </row>
    <row r="211" spans="2:12" x14ac:dyDescent="0.25">
      <c r="B211" s="26"/>
      <c r="C211" s="26"/>
      <c r="D211" s="26"/>
      <c r="E211" s="26"/>
      <c r="F211" s="26"/>
      <c r="G211" s="26"/>
      <c r="H211" s="26"/>
      <c r="I211" s="44"/>
      <c r="J211" s="44"/>
      <c r="K211" s="44"/>
      <c r="L211" s="26"/>
    </row>
    <row r="212" spans="2:12" x14ac:dyDescent="0.25">
      <c r="B212" s="26"/>
      <c r="C212" s="26"/>
      <c r="D212" s="26"/>
      <c r="E212" s="26"/>
      <c r="F212" s="26"/>
      <c r="G212" s="26"/>
      <c r="H212" s="26"/>
      <c r="I212" s="44"/>
      <c r="J212" s="44"/>
      <c r="K212" s="44"/>
      <c r="L212" s="26"/>
    </row>
    <row r="213" spans="2:12" x14ac:dyDescent="0.25">
      <c r="B213" s="26"/>
      <c r="C213" s="26"/>
      <c r="D213" s="26"/>
      <c r="E213" s="26"/>
      <c r="F213" s="26"/>
      <c r="G213" s="26"/>
      <c r="H213" s="26"/>
      <c r="I213" s="44"/>
      <c r="J213" s="44"/>
      <c r="K213" s="44"/>
      <c r="L213" s="26"/>
    </row>
    <row r="214" spans="2:12" x14ac:dyDescent="0.25">
      <c r="B214" s="26"/>
      <c r="C214" s="26"/>
      <c r="D214" s="26"/>
      <c r="E214" s="26"/>
      <c r="F214" s="26"/>
      <c r="G214" s="26"/>
      <c r="H214" s="26"/>
      <c r="I214" s="44"/>
      <c r="J214" s="44"/>
      <c r="K214" s="44"/>
      <c r="L214" s="26"/>
    </row>
    <row r="215" spans="2:12" x14ac:dyDescent="0.25">
      <c r="B215" s="26"/>
      <c r="C215" s="26"/>
      <c r="D215" s="26"/>
      <c r="E215" s="26"/>
      <c r="F215" s="26"/>
      <c r="G215" s="26"/>
      <c r="H215" s="26"/>
      <c r="I215" s="44"/>
      <c r="J215" s="44"/>
      <c r="K215" s="44"/>
      <c r="L215" s="26"/>
    </row>
    <row r="216" spans="2:12" x14ac:dyDescent="0.25">
      <c r="B216" s="26"/>
      <c r="C216" s="26"/>
      <c r="D216" s="26"/>
      <c r="E216" s="26"/>
      <c r="F216" s="26"/>
      <c r="G216" s="26"/>
      <c r="H216" s="26"/>
      <c r="I216" s="44"/>
      <c r="J216" s="44"/>
      <c r="K216" s="44"/>
      <c r="L216" s="26"/>
    </row>
    <row r="217" spans="2:12" x14ac:dyDescent="0.25">
      <c r="B217" s="26"/>
      <c r="C217" s="26"/>
      <c r="D217" s="26"/>
      <c r="E217" s="26"/>
      <c r="F217" s="26"/>
      <c r="G217" s="26"/>
      <c r="H217" s="26"/>
      <c r="I217" s="44"/>
      <c r="J217" s="44"/>
      <c r="K217" s="44"/>
      <c r="L217" s="26"/>
    </row>
    <row r="218" spans="2:12" x14ac:dyDescent="0.25">
      <c r="B218" s="26"/>
      <c r="C218" s="26"/>
      <c r="D218" s="26"/>
      <c r="E218" s="26"/>
      <c r="F218" s="26"/>
      <c r="G218" s="26"/>
      <c r="H218" s="26"/>
      <c r="I218" s="44"/>
      <c r="J218" s="44"/>
      <c r="K218" s="44"/>
      <c r="L218" s="26"/>
    </row>
    <row r="219" spans="2:12" x14ac:dyDescent="0.25">
      <c r="B219" s="26"/>
      <c r="C219" s="26"/>
      <c r="D219" s="26"/>
      <c r="E219" s="26"/>
      <c r="F219" s="26"/>
      <c r="G219" s="26"/>
      <c r="H219" s="26"/>
      <c r="I219" s="44"/>
      <c r="J219" s="44"/>
      <c r="K219" s="44"/>
      <c r="L219" s="26"/>
    </row>
    <row r="220" spans="2:12" x14ac:dyDescent="0.25">
      <c r="B220" s="26"/>
      <c r="C220" s="26"/>
      <c r="D220" s="26"/>
      <c r="E220" s="26"/>
      <c r="F220" s="26"/>
      <c r="G220" s="26"/>
      <c r="H220" s="26"/>
      <c r="I220" s="44"/>
      <c r="J220" s="44"/>
      <c r="K220" s="44"/>
      <c r="L220" s="26"/>
    </row>
    <row r="221" spans="2:12" x14ac:dyDescent="0.25">
      <c r="B221" s="26"/>
      <c r="C221" s="26"/>
      <c r="D221" s="26"/>
      <c r="E221" s="26"/>
      <c r="F221" s="26"/>
      <c r="G221" s="26"/>
      <c r="H221" s="26"/>
      <c r="I221" s="44"/>
      <c r="J221" s="44"/>
      <c r="K221" s="44"/>
      <c r="L221" s="26"/>
    </row>
    <row r="222" spans="2:12" x14ac:dyDescent="0.25">
      <c r="B222" s="26"/>
      <c r="C222" s="26"/>
      <c r="D222" s="26"/>
      <c r="E222" s="26"/>
      <c r="F222" s="26"/>
      <c r="G222" s="26"/>
      <c r="H222" s="26"/>
      <c r="I222" s="44"/>
      <c r="J222" s="44"/>
      <c r="K222" s="44"/>
      <c r="L222" s="26"/>
    </row>
    <row r="223" spans="2:12" x14ac:dyDescent="0.25">
      <c r="B223" s="26"/>
      <c r="C223" s="26"/>
      <c r="D223" s="26"/>
      <c r="E223" s="26"/>
      <c r="F223" s="26"/>
      <c r="G223" s="26"/>
      <c r="H223" s="26"/>
      <c r="I223" s="44"/>
      <c r="J223" s="44"/>
      <c r="K223" s="44"/>
      <c r="L223" s="26"/>
    </row>
    <row r="224" spans="2:12" x14ac:dyDescent="0.25">
      <c r="B224" s="26"/>
      <c r="C224" s="26"/>
      <c r="D224" s="26"/>
      <c r="E224" s="26"/>
      <c r="F224" s="26"/>
      <c r="G224" s="26"/>
      <c r="H224" s="26"/>
      <c r="I224" s="44"/>
      <c r="J224" s="44"/>
      <c r="K224" s="44"/>
      <c r="L224" s="26"/>
    </row>
    <row r="225" spans="2:12" x14ac:dyDescent="0.25">
      <c r="B225" s="26"/>
      <c r="C225" s="26"/>
      <c r="D225" s="26"/>
      <c r="E225" s="26"/>
      <c r="F225" s="26"/>
      <c r="G225" s="26"/>
      <c r="H225" s="26"/>
      <c r="I225" s="44"/>
      <c r="J225" s="44"/>
      <c r="K225" s="44"/>
      <c r="L225" s="26"/>
    </row>
    <row r="226" spans="2:12" x14ac:dyDescent="0.25">
      <c r="B226" s="26"/>
      <c r="C226" s="26"/>
      <c r="D226" s="26"/>
      <c r="E226" s="26"/>
      <c r="F226" s="26"/>
      <c r="G226" s="26"/>
      <c r="H226" s="26"/>
      <c r="I226" s="44"/>
      <c r="J226" s="44"/>
      <c r="K226" s="44"/>
      <c r="L226" s="26"/>
    </row>
    <row r="227" spans="2:12" x14ac:dyDescent="0.25">
      <c r="B227" s="26"/>
      <c r="C227" s="26"/>
      <c r="D227" s="26"/>
      <c r="E227" s="26"/>
      <c r="F227" s="26"/>
      <c r="G227" s="26"/>
      <c r="H227" s="26"/>
      <c r="I227" s="44"/>
      <c r="J227" s="44"/>
      <c r="K227" s="44"/>
      <c r="L227" s="26"/>
    </row>
    <row r="228" spans="2:12" x14ac:dyDescent="0.25">
      <c r="B228" s="26"/>
      <c r="C228" s="26"/>
      <c r="D228" s="26"/>
      <c r="E228" s="26"/>
      <c r="F228" s="26"/>
      <c r="G228" s="26"/>
      <c r="H228" s="26"/>
      <c r="I228" s="44"/>
      <c r="J228" s="44"/>
      <c r="K228" s="44"/>
      <c r="L228" s="26"/>
    </row>
    <row r="229" spans="2:12" x14ac:dyDescent="0.25">
      <c r="B229" s="26"/>
      <c r="C229" s="26"/>
      <c r="D229" s="26"/>
      <c r="E229" s="26"/>
      <c r="F229" s="26"/>
      <c r="G229" s="26"/>
      <c r="H229" s="26"/>
      <c r="I229" s="44"/>
      <c r="J229" s="44"/>
      <c r="K229" s="44"/>
      <c r="L229" s="26"/>
    </row>
    <row r="230" spans="2:12" x14ac:dyDescent="0.25">
      <c r="B230" s="26"/>
      <c r="C230" s="26"/>
      <c r="D230" s="26"/>
      <c r="E230" s="26"/>
      <c r="F230" s="26"/>
      <c r="G230" s="26"/>
      <c r="H230" s="26"/>
      <c r="I230" s="44"/>
      <c r="J230" s="44"/>
      <c r="K230" s="44"/>
      <c r="L230" s="26"/>
    </row>
    <row r="231" spans="2:12" x14ac:dyDescent="0.25">
      <c r="B231" s="26"/>
      <c r="C231" s="26"/>
      <c r="D231" s="26"/>
      <c r="E231" s="26"/>
      <c r="F231" s="26"/>
      <c r="G231" s="26"/>
      <c r="H231" s="26"/>
      <c r="I231" s="44"/>
      <c r="J231" s="44"/>
      <c r="K231" s="44"/>
      <c r="L231" s="26"/>
    </row>
    <row r="232" spans="2:12" x14ac:dyDescent="0.25">
      <c r="B232" s="26"/>
      <c r="C232" s="26"/>
      <c r="D232" s="26"/>
      <c r="E232" s="26"/>
      <c r="F232" s="26"/>
      <c r="G232" s="26"/>
      <c r="H232" s="26"/>
      <c r="I232" s="44"/>
      <c r="J232" s="44"/>
      <c r="K232" s="44"/>
      <c r="L232" s="26"/>
    </row>
    <row r="233" spans="2:12" x14ac:dyDescent="0.25">
      <c r="B233" s="26"/>
      <c r="C233" s="26"/>
      <c r="D233" s="26"/>
      <c r="E233" s="26"/>
      <c r="F233" s="26"/>
      <c r="G233" s="26"/>
      <c r="H233" s="26"/>
      <c r="I233" s="44"/>
      <c r="J233" s="44"/>
      <c r="K233" s="44"/>
      <c r="L233" s="26"/>
    </row>
    <row r="234" spans="2:12" x14ac:dyDescent="0.25">
      <c r="B234" s="26"/>
      <c r="C234" s="26"/>
      <c r="D234" s="26"/>
      <c r="E234" s="26"/>
      <c r="F234" s="26"/>
      <c r="G234" s="26"/>
      <c r="H234" s="26"/>
      <c r="I234" s="44"/>
      <c r="J234" s="44"/>
      <c r="K234" s="44"/>
      <c r="L234" s="26"/>
    </row>
    <row r="235" spans="2:12" x14ac:dyDescent="0.25">
      <c r="B235" s="26"/>
      <c r="C235" s="26"/>
      <c r="D235" s="26"/>
      <c r="E235" s="26"/>
      <c r="F235" s="26"/>
      <c r="G235" s="26"/>
      <c r="H235" s="26"/>
      <c r="I235" s="44"/>
      <c r="J235" s="44"/>
      <c r="K235" s="44"/>
      <c r="L235" s="26"/>
    </row>
    <row r="236" spans="2:12" x14ac:dyDescent="0.25">
      <c r="B236" s="26"/>
      <c r="C236" s="26"/>
      <c r="D236" s="26"/>
      <c r="E236" s="26"/>
      <c r="F236" s="26"/>
      <c r="G236" s="26"/>
      <c r="H236" s="26"/>
      <c r="I236" s="44"/>
      <c r="J236" s="44"/>
      <c r="K236" s="44"/>
      <c r="L236" s="26"/>
    </row>
    <row r="237" spans="2:12" x14ac:dyDescent="0.25">
      <c r="B237" s="26"/>
      <c r="C237" s="26"/>
      <c r="D237" s="26"/>
      <c r="E237" s="26"/>
      <c r="F237" s="26"/>
      <c r="G237" s="26"/>
      <c r="H237" s="26"/>
      <c r="I237" s="44"/>
      <c r="J237" s="44"/>
      <c r="K237" s="44"/>
      <c r="L237" s="26"/>
    </row>
    <row r="238" spans="2:12" x14ac:dyDescent="0.25">
      <c r="B238" s="26"/>
      <c r="C238" s="26"/>
      <c r="D238" s="26"/>
      <c r="E238" s="26"/>
      <c r="F238" s="26"/>
      <c r="G238" s="26"/>
      <c r="H238" s="26"/>
      <c r="I238" s="44"/>
      <c r="J238" s="44"/>
      <c r="K238" s="44"/>
      <c r="L238" s="26"/>
    </row>
    <row r="239" spans="2:12" x14ac:dyDescent="0.25">
      <c r="B239" s="26"/>
      <c r="C239" s="26"/>
      <c r="D239" s="26"/>
      <c r="E239" s="26"/>
      <c r="F239" s="26"/>
      <c r="G239" s="26"/>
      <c r="H239" s="26"/>
      <c r="I239" s="44"/>
      <c r="J239" s="44"/>
      <c r="K239" s="44"/>
      <c r="L239" s="26"/>
    </row>
    <row r="240" spans="2:12" x14ac:dyDescent="0.25">
      <c r="B240" s="26"/>
      <c r="C240" s="26"/>
      <c r="D240" s="26"/>
      <c r="E240" s="26"/>
      <c r="F240" s="26"/>
      <c r="G240" s="26"/>
      <c r="H240" s="26"/>
      <c r="I240" s="44"/>
      <c r="J240" s="44"/>
      <c r="K240" s="44"/>
      <c r="L240" s="26"/>
    </row>
    <row r="241" spans="2:12" x14ac:dyDescent="0.25">
      <c r="B241" s="26"/>
      <c r="C241" s="26"/>
      <c r="D241" s="26"/>
      <c r="E241" s="26"/>
      <c r="F241" s="26"/>
      <c r="G241" s="26"/>
      <c r="H241" s="26"/>
      <c r="I241" s="44"/>
      <c r="J241" s="44"/>
      <c r="K241" s="44"/>
      <c r="L241" s="26"/>
    </row>
    <row r="242" spans="2:12" x14ac:dyDescent="0.25">
      <c r="B242" s="26"/>
      <c r="C242" s="26"/>
      <c r="D242" s="26"/>
      <c r="E242" s="26"/>
      <c r="F242" s="26"/>
      <c r="G242" s="26"/>
      <c r="H242" s="26"/>
      <c r="I242" s="44"/>
      <c r="J242" s="44"/>
      <c r="K242" s="44"/>
      <c r="L242" s="26"/>
    </row>
    <row r="243" spans="2:12" x14ac:dyDescent="0.25">
      <c r="B243" s="26"/>
      <c r="C243" s="26"/>
      <c r="D243" s="26"/>
      <c r="E243" s="26"/>
      <c r="F243" s="26"/>
      <c r="G243" s="26"/>
      <c r="H243" s="26"/>
      <c r="I243" s="44"/>
      <c r="J243" s="44"/>
      <c r="K243" s="44"/>
      <c r="L243" s="26"/>
    </row>
    <row r="244" spans="2:12" x14ac:dyDescent="0.25">
      <c r="B244" s="26"/>
      <c r="C244" s="26"/>
      <c r="D244" s="26"/>
      <c r="E244" s="26"/>
      <c r="F244" s="26"/>
      <c r="G244" s="26"/>
      <c r="H244" s="26"/>
      <c r="I244" s="44"/>
      <c r="J244" s="44"/>
      <c r="K244" s="44"/>
      <c r="L244" s="26"/>
    </row>
    <row r="245" spans="2:12" x14ac:dyDescent="0.25">
      <c r="B245" s="26"/>
      <c r="C245" s="26"/>
      <c r="D245" s="26"/>
      <c r="E245" s="26"/>
      <c r="F245" s="26"/>
      <c r="G245" s="26"/>
      <c r="H245" s="26"/>
      <c r="I245" s="44"/>
      <c r="J245" s="44"/>
      <c r="K245" s="44"/>
      <c r="L245" s="26"/>
    </row>
    <row r="246" spans="2:12" x14ac:dyDescent="0.25">
      <c r="B246" s="26"/>
      <c r="C246" s="26"/>
      <c r="D246" s="26"/>
      <c r="E246" s="26"/>
      <c r="F246" s="26"/>
      <c r="G246" s="26"/>
      <c r="H246" s="26"/>
      <c r="I246" s="44"/>
      <c r="J246" s="44"/>
      <c r="K246" s="44"/>
      <c r="L246" s="26"/>
    </row>
    <row r="247" spans="2:12" x14ac:dyDescent="0.25">
      <c r="B247" s="26"/>
      <c r="C247" s="26"/>
      <c r="D247" s="26"/>
      <c r="E247" s="26"/>
      <c r="F247" s="26"/>
      <c r="G247" s="26"/>
      <c r="H247" s="26"/>
      <c r="I247" s="44"/>
      <c r="J247" s="44"/>
      <c r="K247" s="44"/>
      <c r="L247" s="26"/>
    </row>
    <row r="248" spans="2:12" x14ac:dyDescent="0.25">
      <c r="B248" s="26"/>
      <c r="C248" s="26"/>
      <c r="D248" s="26"/>
      <c r="E248" s="26"/>
      <c r="F248" s="26"/>
      <c r="G248" s="26"/>
      <c r="H248" s="26"/>
      <c r="I248" s="44"/>
      <c r="J248" s="44"/>
      <c r="K248" s="44"/>
      <c r="L248" s="26"/>
    </row>
    <row r="249" spans="2:12" x14ac:dyDescent="0.25">
      <c r="B249" s="26"/>
      <c r="C249" s="26"/>
      <c r="D249" s="26"/>
      <c r="E249" s="26"/>
      <c r="F249" s="26"/>
      <c r="G249" s="26"/>
      <c r="H249" s="26"/>
      <c r="I249" s="44"/>
      <c r="J249" s="44"/>
      <c r="K249" s="44"/>
      <c r="L249" s="26"/>
    </row>
    <row r="250" spans="2:12" x14ac:dyDescent="0.25">
      <c r="B250" s="26"/>
      <c r="C250" s="26"/>
      <c r="D250" s="26"/>
      <c r="E250" s="26"/>
      <c r="F250" s="26"/>
      <c r="G250" s="26"/>
      <c r="H250" s="26"/>
      <c r="I250" s="44"/>
      <c r="J250" s="44"/>
      <c r="K250" s="44"/>
      <c r="L250" s="26"/>
    </row>
    <row r="251" spans="2:12" x14ac:dyDescent="0.25">
      <c r="B251" s="26"/>
      <c r="C251" s="26"/>
      <c r="D251" s="26"/>
      <c r="E251" s="26"/>
      <c r="F251" s="26"/>
      <c r="G251" s="26"/>
      <c r="H251" s="26"/>
      <c r="I251" s="44"/>
      <c r="J251" s="44"/>
      <c r="K251" s="44"/>
      <c r="L251" s="26"/>
    </row>
    <row r="252" spans="2:12" x14ac:dyDescent="0.25">
      <c r="B252" s="26"/>
      <c r="C252" s="26"/>
      <c r="D252" s="26"/>
      <c r="E252" s="26"/>
      <c r="F252" s="26"/>
      <c r="G252" s="26"/>
      <c r="H252" s="26"/>
      <c r="I252" s="44"/>
      <c r="J252" s="44"/>
      <c r="K252" s="44"/>
      <c r="L252" s="26"/>
    </row>
    <row r="253" spans="2:12" x14ac:dyDescent="0.25">
      <c r="B253" s="26"/>
      <c r="C253" s="26"/>
      <c r="D253" s="26"/>
      <c r="E253" s="26"/>
      <c r="F253" s="26"/>
      <c r="G253" s="26"/>
      <c r="H253" s="26"/>
      <c r="I253" s="44"/>
      <c r="J253" s="44"/>
      <c r="K253" s="44"/>
      <c r="L253" s="26"/>
    </row>
    <row r="254" spans="2:12" x14ac:dyDescent="0.25">
      <c r="B254" s="26"/>
      <c r="C254" s="26"/>
      <c r="D254" s="26"/>
      <c r="E254" s="26"/>
      <c r="F254" s="26"/>
      <c r="G254" s="26"/>
      <c r="H254" s="26"/>
      <c r="I254" s="44"/>
      <c r="J254" s="44"/>
      <c r="K254" s="44"/>
      <c r="L254" s="26"/>
    </row>
    <row r="255" spans="2:12" x14ac:dyDescent="0.25">
      <c r="B255" s="26"/>
      <c r="C255" s="26"/>
      <c r="D255" s="26"/>
      <c r="E255" s="26"/>
      <c r="F255" s="26"/>
      <c r="G255" s="26"/>
      <c r="H255" s="26"/>
      <c r="I255" s="44"/>
      <c r="J255" s="44"/>
      <c r="K255" s="44"/>
      <c r="L255" s="26"/>
    </row>
    <row r="256" spans="2:12" x14ac:dyDescent="0.25">
      <c r="B256" s="26"/>
      <c r="C256" s="26"/>
      <c r="D256" s="26"/>
      <c r="E256" s="26"/>
      <c r="F256" s="26"/>
      <c r="G256" s="26"/>
      <c r="H256" s="26"/>
      <c r="I256" s="44"/>
      <c r="J256" s="44"/>
      <c r="K256" s="44"/>
      <c r="L256" s="26"/>
    </row>
    <row r="257" spans="2:12" x14ac:dyDescent="0.25">
      <c r="B257" s="26"/>
      <c r="C257" s="26"/>
      <c r="D257" s="26"/>
      <c r="E257" s="26"/>
      <c r="F257" s="26"/>
      <c r="G257" s="26"/>
      <c r="H257" s="26"/>
      <c r="I257" s="44"/>
      <c r="J257" s="44"/>
      <c r="K257" s="44"/>
      <c r="L257" s="26"/>
    </row>
    <row r="258" spans="2:12" x14ac:dyDescent="0.25">
      <c r="B258" s="26"/>
      <c r="C258" s="26"/>
      <c r="D258" s="26"/>
      <c r="E258" s="26"/>
      <c r="F258" s="26"/>
      <c r="G258" s="26"/>
      <c r="H258" s="26"/>
      <c r="I258" s="44"/>
      <c r="J258" s="44"/>
      <c r="K258" s="44"/>
      <c r="L258" s="26"/>
    </row>
    <row r="259" spans="2:12" x14ac:dyDescent="0.25">
      <c r="B259" s="26"/>
      <c r="C259" s="26"/>
      <c r="D259" s="26"/>
      <c r="E259" s="26"/>
      <c r="F259" s="26"/>
      <c r="G259" s="26"/>
      <c r="H259" s="26"/>
      <c r="I259" s="44"/>
      <c r="J259" s="44"/>
      <c r="K259" s="44"/>
      <c r="L259" s="26"/>
    </row>
    <row r="260" spans="2:12" x14ac:dyDescent="0.25">
      <c r="B260" s="26"/>
      <c r="C260" s="26"/>
      <c r="D260" s="26"/>
      <c r="E260" s="26"/>
      <c r="F260" s="26"/>
      <c r="G260" s="26"/>
      <c r="H260" s="26"/>
      <c r="I260" s="44"/>
      <c r="J260" s="44"/>
      <c r="K260" s="44"/>
      <c r="L260" s="26"/>
    </row>
    <row r="261" spans="2:12" x14ac:dyDescent="0.25">
      <c r="B261" s="26"/>
      <c r="C261" s="26"/>
      <c r="D261" s="26"/>
      <c r="E261" s="26"/>
      <c r="F261" s="26"/>
      <c r="G261" s="26"/>
      <c r="H261" s="26"/>
      <c r="I261" s="44"/>
      <c r="J261" s="44"/>
      <c r="K261" s="44"/>
      <c r="L261" s="26"/>
    </row>
    <row r="262" spans="2:12" x14ac:dyDescent="0.25">
      <c r="B262" s="26"/>
      <c r="C262" s="26"/>
      <c r="D262" s="26"/>
      <c r="E262" s="26"/>
      <c r="F262" s="26"/>
      <c r="G262" s="26"/>
      <c r="H262" s="26"/>
      <c r="I262" s="44"/>
      <c r="J262" s="44"/>
      <c r="K262" s="44"/>
      <c r="L262" s="26"/>
    </row>
    <row r="263" spans="2:12" x14ac:dyDescent="0.25">
      <c r="B263" s="26"/>
      <c r="C263" s="26"/>
      <c r="D263" s="26"/>
      <c r="E263" s="26"/>
      <c r="F263" s="26"/>
      <c r="G263" s="26"/>
      <c r="H263" s="26"/>
      <c r="I263" s="44"/>
      <c r="J263" s="44"/>
      <c r="K263" s="44"/>
      <c r="L263" s="26"/>
    </row>
    <row r="264" spans="2:12" x14ac:dyDescent="0.25">
      <c r="B264" s="26"/>
      <c r="C264" s="26"/>
      <c r="D264" s="26"/>
      <c r="E264" s="26"/>
      <c r="F264" s="26"/>
      <c r="G264" s="26"/>
      <c r="H264" s="26"/>
      <c r="I264" s="44"/>
      <c r="J264" s="44"/>
      <c r="K264" s="44"/>
      <c r="L264" s="26"/>
    </row>
    <row r="265" spans="2:12" x14ac:dyDescent="0.25">
      <c r="B265" s="26"/>
      <c r="C265" s="26"/>
      <c r="D265" s="26"/>
      <c r="E265" s="26"/>
      <c r="F265" s="26"/>
      <c r="G265" s="26"/>
      <c r="H265" s="26"/>
      <c r="I265" s="44"/>
      <c r="J265" s="44"/>
      <c r="K265" s="44"/>
      <c r="L265" s="26"/>
    </row>
    <row r="266" spans="2:12" x14ac:dyDescent="0.25">
      <c r="B266" s="26"/>
      <c r="C266" s="26"/>
      <c r="D266" s="26"/>
      <c r="E266" s="26"/>
      <c r="F266" s="26"/>
      <c r="G266" s="26"/>
      <c r="H266" s="26"/>
      <c r="I266" s="44"/>
      <c r="J266" s="44"/>
      <c r="K266" s="44"/>
      <c r="L266" s="26"/>
    </row>
    <row r="267" spans="2:12" x14ac:dyDescent="0.25">
      <c r="B267" s="26"/>
      <c r="C267" s="26"/>
      <c r="D267" s="26"/>
      <c r="E267" s="26"/>
      <c r="F267" s="26"/>
      <c r="G267" s="26"/>
      <c r="H267" s="26"/>
      <c r="I267" s="44"/>
      <c r="J267" s="44"/>
      <c r="K267" s="44"/>
      <c r="L267" s="26"/>
    </row>
    <row r="268" spans="2:12" x14ac:dyDescent="0.25">
      <c r="B268" s="26"/>
      <c r="C268" s="26"/>
      <c r="D268" s="26"/>
      <c r="E268" s="26"/>
      <c r="F268" s="26"/>
      <c r="G268" s="26"/>
      <c r="H268" s="26"/>
      <c r="I268" s="44"/>
      <c r="J268" s="44"/>
      <c r="K268" s="44"/>
      <c r="L268" s="26"/>
    </row>
    <row r="269" spans="2:12" x14ac:dyDescent="0.25">
      <c r="B269" s="26"/>
      <c r="C269" s="26"/>
      <c r="D269" s="26"/>
      <c r="E269" s="26"/>
      <c r="F269" s="26"/>
      <c r="G269" s="26"/>
      <c r="H269" s="26"/>
      <c r="I269" s="44"/>
      <c r="J269" s="44"/>
      <c r="K269" s="44"/>
      <c r="L269" s="26"/>
    </row>
    <row r="270" spans="2:12" x14ac:dyDescent="0.25">
      <c r="B270" s="26"/>
      <c r="C270" s="26"/>
      <c r="D270" s="26"/>
      <c r="E270" s="26"/>
      <c r="F270" s="26"/>
      <c r="G270" s="26"/>
      <c r="H270" s="26"/>
      <c r="I270" s="44"/>
      <c r="J270" s="44"/>
      <c r="K270" s="44"/>
      <c r="L270" s="26"/>
    </row>
    <row r="271" spans="2:12" x14ac:dyDescent="0.25">
      <c r="B271" s="26"/>
      <c r="C271" s="26"/>
      <c r="D271" s="26"/>
      <c r="E271" s="26"/>
      <c r="F271" s="26"/>
      <c r="G271" s="26"/>
      <c r="H271" s="26"/>
      <c r="I271" s="44"/>
      <c r="J271" s="44"/>
      <c r="K271" s="44"/>
      <c r="L271" s="26"/>
    </row>
    <row r="272" spans="2:12" x14ac:dyDescent="0.25">
      <c r="B272" s="26"/>
      <c r="C272" s="26"/>
      <c r="D272" s="26"/>
      <c r="E272" s="26"/>
      <c r="F272" s="26"/>
      <c r="G272" s="26"/>
      <c r="H272" s="26"/>
      <c r="I272" s="44"/>
      <c r="J272" s="44"/>
      <c r="K272" s="44"/>
      <c r="L272" s="26"/>
    </row>
    <row r="273" spans="2:12" x14ac:dyDescent="0.25">
      <c r="B273" s="26"/>
      <c r="C273" s="26"/>
      <c r="D273" s="26"/>
      <c r="E273" s="26"/>
      <c r="F273" s="26"/>
      <c r="G273" s="26"/>
      <c r="H273" s="26"/>
      <c r="I273" s="44"/>
      <c r="J273" s="44"/>
      <c r="K273" s="44"/>
      <c r="L273" s="26"/>
    </row>
    <row r="274" spans="2:12" x14ac:dyDescent="0.25">
      <c r="B274" s="26"/>
      <c r="C274" s="26"/>
      <c r="D274" s="26"/>
      <c r="E274" s="26"/>
      <c r="F274" s="26"/>
      <c r="G274" s="26"/>
      <c r="H274" s="26"/>
      <c r="I274" s="44"/>
      <c r="J274" s="44"/>
      <c r="K274" s="44"/>
      <c r="L274" s="26"/>
    </row>
    <row r="275" spans="2:12" x14ac:dyDescent="0.25">
      <c r="B275" s="26"/>
      <c r="C275" s="26"/>
      <c r="D275" s="26"/>
      <c r="E275" s="26"/>
      <c r="F275" s="26"/>
      <c r="G275" s="26"/>
      <c r="H275" s="26"/>
      <c r="I275" s="44"/>
      <c r="J275" s="44"/>
      <c r="K275" s="44"/>
      <c r="L275" s="26"/>
    </row>
    <row r="276" spans="2:12" x14ac:dyDescent="0.25">
      <c r="B276" s="26"/>
      <c r="C276" s="26"/>
      <c r="D276" s="26"/>
      <c r="E276" s="26"/>
      <c r="F276" s="26"/>
      <c r="G276" s="26"/>
      <c r="H276" s="26"/>
      <c r="I276" s="44"/>
      <c r="J276" s="44"/>
      <c r="K276" s="44"/>
      <c r="L276" s="26"/>
    </row>
    <row r="277" spans="2:12" x14ac:dyDescent="0.25">
      <c r="B277" s="26"/>
      <c r="C277" s="26"/>
      <c r="D277" s="26"/>
      <c r="E277" s="26"/>
      <c r="F277" s="26"/>
      <c r="G277" s="26"/>
      <c r="H277" s="26"/>
      <c r="I277" s="44"/>
      <c r="J277" s="44"/>
      <c r="K277" s="44"/>
      <c r="L277" s="26"/>
    </row>
    <row r="278" spans="2:12" x14ac:dyDescent="0.25">
      <c r="B278" s="26"/>
      <c r="C278" s="26"/>
      <c r="D278" s="26"/>
      <c r="E278" s="26"/>
      <c r="F278" s="26"/>
      <c r="G278" s="26"/>
      <c r="H278" s="26"/>
      <c r="I278" s="44"/>
      <c r="J278" s="44"/>
      <c r="K278" s="44"/>
      <c r="L278" s="26"/>
    </row>
    <row r="279" spans="2:12" x14ac:dyDescent="0.25">
      <c r="B279" s="26"/>
      <c r="C279" s="26"/>
      <c r="D279" s="26"/>
      <c r="E279" s="26"/>
      <c r="F279" s="26"/>
      <c r="G279" s="26"/>
      <c r="H279" s="26"/>
      <c r="I279" s="44"/>
      <c r="J279" s="44"/>
      <c r="K279" s="44"/>
      <c r="L279" s="26"/>
    </row>
    <row r="280" spans="2:12" x14ac:dyDescent="0.25">
      <c r="B280" s="26"/>
      <c r="C280" s="26"/>
      <c r="D280" s="26"/>
      <c r="E280" s="26"/>
      <c r="F280" s="26"/>
      <c r="G280" s="26"/>
      <c r="H280" s="26"/>
      <c r="I280" s="44"/>
      <c r="J280" s="44"/>
      <c r="K280" s="44"/>
      <c r="L280" s="26"/>
    </row>
    <row r="281" spans="2:12" x14ac:dyDescent="0.25">
      <c r="B281" s="26"/>
      <c r="C281" s="26"/>
      <c r="D281" s="26"/>
      <c r="E281" s="26"/>
      <c r="F281" s="26"/>
      <c r="G281" s="26"/>
      <c r="H281" s="26"/>
      <c r="I281" s="44"/>
      <c r="J281" s="44"/>
      <c r="K281" s="44"/>
      <c r="L281" s="26"/>
    </row>
    <row r="282" spans="2:12" x14ac:dyDescent="0.25">
      <c r="B282" s="26"/>
      <c r="C282" s="26"/>
      <c r="D282" s="26"/>
      <c r="E282" s="26"/>
      <c r="F282" s="26"/>
      <c r="G282" s="26"/>
      <c r="H282" s="26"/>
      <c r="I282" s="44"/>
      <c r="J282" s="44"/>
      <c r="K282" s="44"/>
      <c r="L282" s="26"/>
    </row>
    <row r="283" spans="2:12" x14ac:dyDescent="0.25">
      <c r="B283" s="26"/>
      <c r="C283" s="26"/>
      <c r="D283" s="26"/>
      <c r="E283" s="26"/>
      <c r="F283" s="26"/>
      <c r="G283" s="26"/>
      <c r="H283" s="26"/>
      <c r="I283" s="44"/>
      <c r="J283" s="44"/>
      <c r="K283" s="44"/>
      <c r="L283" s="26"/>
    </row>
    <row r="284" spans="2:12" x14ac:dyDescent="0.25">
      <c r="B284" s="26"/>
      <c r="C284" s="26"/>
      <c r="D284" s="26"/>
      <c r="E284" s="26"/>
      <c r="F284" s="26"/>
      <c r="G284" s="26"/>
      <c r="H284" s="26"/>
      <c r="I284" s="44"/>
      <c r="J284" s="44"/>
      <c r="K284" s="44"/>
      <c r="L284" s="26"/>
    </row>
    <row r="285" spans="2:12" x14ac:dyDescent="0.25">
      <c r="B285" s="26"/>
      <c r="C285" s="26"/>
      <c r="D285" s="26"/>
      <c r="E285" s="26"/>
      <c r="F285" s="26"/>
      <c r="G285" s="26"/>
      <c r="H285" s="26"/>
      <c r="I285" s="44"/>
      <c r="J285" s="44"/>
      <c r="K285" s="44"/>
      <c r="L285" s="26"/>
    </row>
    <row r="286" spans="2:12" x14ac:dyDescent="0.25">
      <c r="B286" s="26"/>
      <c r="C286" s="26"/>
      <c r="D286" s="26"/>
      <c r="E286" s="26"/>
      <c r="F286" s="26"/>
      <c r="G286" s="26"/>
      <c r="H286" s="26"/>
      <c r="I286" s="44"/>
      <c r="J286" s="44"/>
      <c r="K286" s="44"/>
      <c r="L286" s="26"/>
    </row>
    <row r="287" spans="2:12" x14ac:dyDescent="0.25">
      <c r="B287" s="26"/>
      <c r="C287" s="26"/>
      <c r="D287" s="26"/>
      <c r="E287" s="26"/>
      <c r="F287" s="26"/>
      <c r="G287" s="26"/>
      <c r="H287" s="26"/>
      <c r="I287" s="44"/>
      <c r="J287" s="44"/>
      <c r="K287" s="44"/>
      <c r="L287" s="26"/>
    </row>
    <row r="288" spans="2:12" x14ac:dyDescent="0.25">
      <c r="B288" s="26"/>
      <c r="C288" s="26"/>
      <c r="D288" s="26"/>
      <c r="E288" s="26"/>
      <c r="F288" s="26"/>
      <c r="G288" s="26"/>
      <c r="H288" s="26"/>
      <c r="I288" s="44"/>
      <c r="J288" s="44"/>
      <c r="K288" s="44"/>
      <c r="L288" s="26"/>
    </row>
    <row r="289" spans="2:12" x14ac:dyDescent="0.25">
      <c r="B289" s="26"/>
      <c r="C289" s="26"/>
      <c r="D289" s="26"/>
      <c r="E289" s="26"/>
      <c r="F289" s="26"/>
      <c r="G289" s="26"/>
      <c r="H289" s="26"/>
      <c r="I289" s="44"/>
      <c r="J289" s="44"/>
      <c r="K289" s="44"/>
      <c r="L289" s="26"/>
    </row>
    <row r="290" spans="2:12" x14ac:dyDescent="0.25">
      <c r="B290" s="26"/>
      <c r="C290" s="26"/>
      <c r="D290" s="26"/>
      <c r="E290" s="26"/>
      <c r="F290" s="26"/>
      <c r="G290" s="26"/>
      <c r="H290" s="26"/>
      <c r="I290" s="44"/>
      <c r="J290" s="44"/>
      <c r="K290" s="44"/>
      <c r="L290" s="26"/>
    </row>
    <row r="291" spans="2:12" x14ac:dyDescent="0.25">
      <c r="B291" s="26"/>
      <c r="C291" s="26"/>
      <c r="D291" s="26"/>
      <c r="E291" s="26"/>
      <c r="F291" s="26"/>
      <c r="G291" s="26"/>
      <c r="H291" s="26"/>
      <c r="I291" s="44"/>
      <c r="J291" s="44"/>
      <c r="K291" s="44"/>
      <c r="L291" s="26"/>
    </row>
    <row r="292" spans="2:12" x14ac:dyDescent="0.25">
      <c r="B292" s="26"/>
      <c r="C292" s="26"/>
      <c r="D292" s="26"/>
      <c r="E292" s="26"/>
      <c r="F292" s="26"/>
      <c r="G292" s="26"/>
      <c r="H292" s="26"/>
      <c r="I292" s="44"/>
      <c r="J292" s="44"/>
      <c r="K292" s="44"/>
      <c r="L292" s="26"/>
    </row>
    <row r="293" spans="2:12" x14ac:dyDescent="0.25">
      <c r="B293" s="26"/>
      <c r="C293" s="26"/>
      <c r="D293" s="26"/>
      <c r="E293" s="26"/>
      <c r="F293" s="26"/>
      <c r="G293" s="26"/>
      <c r="H293" s="26"/>
      <c r="I293" s="44"/>
      <c r="J293" s="44"/>
      <c r="K293" s="44"/>
      <c r="L293" s="26"/>
    </row>
    <row r="294" spans="2:12" x14ac:dyDescent="0.25">
      <c r="B294" s="26"/>
      <c r="C294" s="26"/>
      <c r="D294" s="26"/>
      <c r="E294" s="26"/>
      <c r="F294" s="26"/>
      <c r="G294" s="26"/>
      <c r="H294" s="26"/>
      <c r="I294" s="44"/>
      <c r="J294" s="44"/>
      <c r="K294" s="44"/>
      <c r="L294" s="26"/>
    </row>
    <row r="295" spans="2:12" x14ac:dyDescent="0.25">
      <c r="B295" s="26"/>
      <c r="C295" s="26"/>
      <c r="D295" s="26"/>
      <c r="E295" s="26"/>
      <c r="F295" s="26"/>
      <c r="G295" s="26"/>
      <c r="H295" s="26"/>
      <c r="I295" s="44"/>
      <c r="J295" s="44"/>
      <c r="K295" s="44"/>
      <c r="L295" s="26"/>
    </row>
    <row r="296" spans="2:12" x14ac:dyDescent="0.25">
      <c r="B296" s="26"/>
      <c r="C296" s="26"/>
      <c r="D296" s="26"/>
      <c r="E296" s="26"/>
      <c r="F296" s="26"/>
      <c r="G296" s="26"/>
      <c r="H296" s="26"/>
      <c r="I296" s="44"/>
      <c r="J296" s="44"/>
      <c r="K296" s="44"/>
      <c r="L296" s="26"/>
    </row>
    <row r="297" spans="2:12" x14ac:dyDescent="0.25">
      <c r="B297" s="26"/>
      <c r="C297" s="26"/>
      <c r="D297" s="26"/>
      <c r="E297" s="26"/>
      <c r="F297" s="26"/>
      <c r="G297" s="26"/>
      <c r="H297" s="26"/>
      <c r="I297" s="44"/>
      <c r="J297" s="44"/>
      <c r="K297" s="44"/>
      <c r="L297" s="26"/>
    </row>
    <row r="298" spans="2:12" x14ac:dyDescent="0.25">
      <c r="B298" s="26"/>
      <c r="C298" s="26"/>
      <c r="D298" s="26"/>
      <c r="E298" s="26"/>
      <c r="F298" s="26"/>
      <c r="G298" s="26"/>
      <c r="H298" s="26"/>
      <c r="I298" s="44"/>
      <c r="J298" s="44"/>
      <c r="K298" s="44"/>
      <c r="L298" s="26"/>
    </row>
    <row r="299" spans="2:12" x14ac:dyDescent="0.25">
      <c r="B299" s="26"/>
      <c r="C299" s="26"/>
      <c r="D299" s="26"/>
      <c r="E299" s="26"/>
      <c r="F299" s="26"/>
      <c r="G299" s="26"/>
      <c r="H299" s="26"/>
      <c r="I299" s="44"/>
      <c r="J299" s="44"/>
      <c r="K299" s="44"/>
      <c r="L299" s="26"/>
    </row>
    <row r="300" spans="2:12" x14ac:dyDescent="0.25">
      <c r="B300" s="26"/>
      <c r="C300" s="26"/>
      <c r="D300" s="26"/>
      <c r="E300" s="26"/>
      <c r="F300" s="26"/>
      <c r="G300" s="26"/>
      <c r="H300" s="26"/>
      <c r="I300" s="44"/>
      <c r="J300" s="44"/>
      <c r="K300" s="44"/>
      <c r="L300" s="26"/>
    </row>
    <row r="301" spans="2:12" x14ac:dyDescent="0.25">
      <c r="B301" s="26"/>
      <c r="C301" s="26"/>
      <c r="D301" s="26"/>
      <c r="E301" s="26"/>
      <c r="F301" s="26"/>
      <c r="G301" s="26"/>
      <c r="H301" s="26"/>
      <c r="I301" s="44"/>
      <c r="J301" s="44"/>
      <c r="K301" s="44"/>
      <c r="L301" s="26"/>
    </row>
    <row r="302" spans="2:12" x14ac:dyDescent="0.25">
      <c r="B302" s="26"/>
      <c r="C302" s="26"/>
      <c r="D302" s="26"/>
      <c r="E302" s="26"/>
      <c r="F302" s="26"/>
      <c r="G302" s="26"/>
      <c r="H302" s="26"/>
      <c r="I302" s="44"/>
      <c r="J302" s="44"/>
      <c r="K302" s="44"/>
      <c r="L302" s="26"/>
    </row>
    <row r="303" spans="2:12" x14ac:dyDescent="0.25">
      <c r="B303" s="26"/>
      <c r="C303" s="26"/>
      <c r="D303" s="26"/>
      <c r="E303" s="26"/>
      <c r="F303" s="26"/>
      <c r="G303" s="26"/>
      <c r="H303" s="26"/>
      <c r="I303" s="44"/>
      <c r="J303" s="44"/>
      <c r="K303" s="44"/>
      <c r="L303" s="26"/>
    </row>
    <row r="304" spans="2:12" x14ac:dyDescent="0.25">
      <c r="B304" s="26"/>
      <c r="C304" s="26"/>
      <c r="D304" s="26"/>
      <c r="E304" s="26"/>
      <c r="F304" s="26"/>
      <c r="G304" s="26"/>
      <c r="H304" s="26"/>
      <c r="I304" s="44"/>
      <c r="J304" s="44"/>
      <c r="K304" s="44"/>
      <c r="L304" s="26"/>
    </row>
    <row r="305" spans="2:12" x14ac:dyDescent="0.25">
      <c r="B305" s="26"/>
      <c r="C305" s="26"/>
      <c r="D305" s="26"/>
      <c r="E305" s="26"/>
      <c r="F305" s="26"/>
      <c r="G305" s="26"/>
      <c r="H305" s="26"/>
      <c r="I305" s="44"/>
      <c r="J305" s="44"/>
      <c r="K305" s="44"/>
      <c r="L305" s="26"/>
    </row>
    <row r="306" spans="2:12" x14ac:dyDescent="0.25">
      <c r="B306" s="26"/>
      <c r="C306" s="26"/>
      <c r="D306" s="26"/>
      <c r="E306" s="26"/>
      <c r="F306" s="26"/>
      <c r="G306" s="26"/>
      <c r="H306" s="26"/>
      <c r="I306" s="44"/>
      <c r="J306" s="44"/>
      <c r="K306" s="44"/>
      <c r="L306" s="26"/>
    </row>
    <row r="307" spans="2:12" x14ac:dyDescent="0.25">
      <c r="B307" s="26"/>
      <c r="C307" s="26"/>
      <c r="D307" s="26"/>
      <c r="E307" s="26"/>
      <c r="F307" s="26"/>
      <c r="G307" s="26"/>
      <c r="H307" s="26"/>
      <c r="I307" s="44"/>
      <c r="J307" s="44"/>
      <c r="K307" s="44"/>
      <c r="L307" s="26"/>
    </row>
    <row r="308" spans="2:12" x14ac:dyDescent="0.25">
      <c r="B308" s="26"/>
      <c r="C308" s="26"/>
      <c r="D308" s="26"/>
      <c r="E308" s="26"/>
      <c r="F308" s="26"/>
      <c r="G308" s="26"/>
      <c r="H308" s="26"/>
      <c r="I308" s="44"/>
      <c r="J308" s="44"/>
      <c r="K308" s="44"/>
      <c r="L308" s="26"/>
    </row>
    <row r="309" spans="2:12" x14ac:dyDescent="0.25">
      <c r="B309" s="26"/>
      <c r="C309" s="26"/>
      <c r="D309" s="26"/>
      <c r="E309" s="26"/>
      <c r="F309" s="26"/>
      <c r="G309" s="26"/>
      <c r="H309" s="26"/>
      <c r="I309" s="44"/>
      <c r="J309" s="44"/>
      <c r="K309" s="44"/>
      <c r="L309" s="26"/>
    </row>
    <row r="310" spans="2:12" x14ac:dyDescent="0.25">
      <c r="B310" s="26"/>
      <c r="C310" s="26"/>
      <c r="D310" s="26"/>
      <c r="E310" s="26"/>
      <c r="F310" s="26"/>
      <c r="G310" s="26"/>
      <c r="H310" s="26"/>
      <c r="I310" s="44"/>
      <c r="J310" s="44"/>
      <c r="K310" s="44"/>
      <c r="L310" s="26"/>
    </row>
    <row r="311" spans="2:12" x14ac:dyDescent="0.25">
      <c r="B311" s="26"/>
      <c r="C311" s="26"/>
      <c r="D311" s="26"/>
      <c r="E311" s="26"/>
      <c r="F311" s="26"/>
      <c r="G311" s="26"/>
      <c r="H311" s="26"/>
      <c r="I311" s="44"/>
      <c r="J311" s="44"/>
      <c r="K311" s="44"/>
      <c r="L311" s="26"/>
    </row>
    <row r="312" spans="2:12" x14ac:dyDescent="0.25">
      <c r="B312" s="26"/>
      <c r="C312" s="26"/>
      <c r="D312" s="26"/>
      <c r="E312" s="26"/>
      <c r="F312" s="26"/>
      <c r="G312" s="26"/>
      <c r="H312" s="26"/>
      <c r="I312" s="44"/>
      <c r="J312" s="44"/>
      <c r="K312" s="44"/>
      <c r="L312" s="26"/>
    </row>
    <row r="313" spans="2:12" x14ac:dyDescent="0.25">
      <c r="B313" s="26"/>
      <c r="C313" s="26"/>
      <c r="D313" s="26"/>
      <c r="E313" s="26"/>
      <c r="F313" s="26"/>
      <c r="G313" s="26"/>
      <c r="H313" s="26"/>
      <c r="I313" s="44"/>
      <c r="J313" s="44"/>
      <c r="K313" s="44"/>
      <c r="L313" s="26"/>
    </row>
    <row r="314" spans="2:12" x14ac:dyDescent="0.25">
      <c r="B314" s="26"/>
      <c r="C314" s="26"/>
      <c r="D314" s="26"/>
      <c r="E314" s="26"/>
      <c r="F314" s="26"/>
      <c r="G314" s="26"/>
      <c r="H314" s="26"/>
      <c r="I314" s="44"/>
      <c r="J314" s="44"/>
      <c r="K314" s="44"/>
      <c r="L314" s="26"/>
    </row>
    <row r="315" spans="2:12" x14ac:dyDescent="0.25">
      <c r="B315" s="26"/>
      <c r="C315" s="26"/>
      <c r="D315" s="26"/>
      <c r="E315" s="26"/>
      <c r="F315" s="26"/>
      <c r="G315" s="26"/>
      <c r="H315" s="26"/>
      <c r="I315" s="44"/>
      <c r="J315" s="44"/>
      <c r="K315" s="44"/>
      <c r="L315" s="26"/>
    </row>
    <row r="316" spans="2:12" x14ac:dyDescent="0.25">
      <c r="B316" s="26"/>
      <c r="C316" s="26"/>
      <c r="D316" s="26"/>
      <c r="E316" s="26"/>
      <c r="F316" s="26"/>
      <c r="G316" s="26"/>
      <c r="H316" s="26"/>
      <c r="I316" s="44"/>
      <c r="J316" s="44"/>
      <c r="K316" s="44"/>
      <c r="L316" s="26"/>
    </row>
    <row r="317" spans="2:12" x14ac:dyDescent="0.25">
      <c r="B317" s="26"/>
      <c r="C317" s="26"/>
      <c r="D317" s="26"/>
      <c r="E317" s="26"/>
      <c r="F317" s="26"/>
      <c r="G317" s="26"/>
      <c r="H317" s="26"/>
      <c r="I317" s="44"/>
      <c r="J317" s="44"/>
      <c r="K317" s="44"/>
      <c r="L317" s="26"/>
    </row>
    <row r="318" spans="2:12" x14ac:dyDescent="0.25">
      <c r="B318" s="26"/>
      <c r="C318" s="26"/>
      <c r="D318" s="26"/>
      <c r="E318" s="26"/>
      <c r="F318" s="26"/>
      <c r="G318" s="26"/>
      <c r="H318" s="26"/>
      <c r="I318" s="44"/>
      <c r="J318" s="44"/>
      <c r="K318" s="44"/>
      <c r="L318" s="26"/>
    </row>
    <row r="319" spans="2:12" x14ac:dyDescent="0.25">
      <c r="B319" s="26"/>
      <c r="C319" s="26"/>
      <c r="D319" s="26"/>
      <c r="E319" s="26"/>
      <c r="F319" s="26"/>
      <c r="G319" s="26"/>
      <c r="H319" s="26"/>
      <c r="I319" s="44"/>
      <c r="J319" s="44"/>
      <c r="K319" s="44"/>
      <c r="L319" s="26"/>
    </row>
    <row r="320" spans="2:12" x14ac:dyDescent="0.25">
      <c r="B320" s="26"/>
      <c r="C320" s="26"/>
      <c r="D320" s="26"/>
      <c r="E320" s="26"/>
      <c r="F320" s="26"/>
      <c r="G320" s="26"/>
      <c r="H320" s="26"/>
      <c r="I320" s="44"/>
      <c r="J320" s="44"/>
      <c r="K320" s="44"/>
      <c r="L320" s="26"/>
    </row>
    <row r="321" spans="2:12" x14ac:dyDescent="0.25">
      <c r="B321" s="26"/>
      <c r="C321" s="26"/>
      <c r="D321" s="26"/>
      <c r="E321" s="26"/>
      <c r="F321" s="26"/>
      <c r="G321" s="26"/>
      <c r="H321" s="26"/>
      <c r="I321" s="44"/>
      <c r="J321" s="44"/>
      <c r="K321" s="44"/>
      <c r="L321" s="26"/>
    </row>
    <row r="322" spans="2:12" x14ac:dyDescent="0.25">
      <c r="B322" s="26"/>
      <c r="C322" s="26"/>
      <c r="D322" s="26"/>
      <c r="E322" s="26"/>
      <c r="F322" s="26"/>
      <c r="G322" s="26"/>
      <c r="H322" s="26"/>
      <c r="I322" s="44"/>
      <c r="J322" s="44"/>
      <c r="K322" s="44"/>
      <c r="L322" s="26"/>
    </row>
    <row r="323" spans="2:12" x14ac:dyDescent="0.25">
      <c r="B323" s="26"/>
      <c r="C323" s="26"/>
      <c r="D323" s="26"/>
      <c r="E323" s="26"/>
      <c r="F323" s="26"/>
      <c r="G323" s="26"/>
      <c r="H323" s="26"/>
      <c r="I323" s="44"/>
      <c r="J323" s="44"/>
      <c r="K323" s="44"/>
      <c r="L323" s="26"/>
    </row>
    <row r="324" spans="2:12" x14ac:dyDescent="0.25">
      <c r="B324" s="26"/>
      <c r="C324" s="26"/>
      <c r="D324" s="26"/>
      <c r="E324" s="26"/>
      <c r="F324" s="26"/>
      <c r="G324" s="26"/>
      <c r="H324" s="26"/>
      <c r="I324" s="44"/>
      <c r="J324" s="44"/>
      <c r="K324" s="44"/>
      <c r="L324" s="26"/>
    </row>
    <row r="325" spans="2:12" x14ac:dyDescent="0.25">
      <c r="B325" s="26"/>
      <c r="C325" s="26"/>
      <c r="D325" s="26"/>
      <c r="E325" s="26"/>
      <c r="F325" s="26"/>
      <c r="G325" s="26"/>
      <c r="H325" s="26"/>
      <c r="I325" s="44"/>
      <c r="J325" s="44"/>
      <c r="K325" s="44"/>
      <c r="L325" s="26"/>
    </row>
    <row r="326" spans="2:12" x14ac:dyDescent="0.25">
      <c r="B326" s="26"/>
      <c r="C326" s="26"/>
      <c r="D326" s="26"/>
      <c r="E326" s="26"/>
      <c r="F326" s="26"/>
      <c r="G326" s="26"/>
      <c r="H326" s="26"/>
      <c r="I326" s="44"/>
      <c r="J326" s="44"/>
      <c r="K326" s="44"/>
      <c r="L326" s="26"/>
    </row>
    <row r="327" spans="2:12" x14ac:dyDescent="0.25">
      <c r="B327" s="26"/>
      <c r="C327" s="26"/>
      <c r="D327" s="26"/>
      <c r="E327" s="26"/>
      <c r="F327" s="26"/>
      <c r="G327" s="26"/>
      <c r="H327" s="26"/>
      <c r="I327" s="44"/>
      <c r="J327" s="44"/>
      <c r="K327" s="44"/>
      <c r="L327" s="26"/>
    </row>
    <row r="328" spans="2:12" x14ac:dyDescent="0.25">
      <c r="B328" s="26"/>
      <c r="C328" s="26"/>
      <c r="D328" s="26"/>
      <c r="E328" s="26"/>
      <c r="F328" s="26"/>
      <c r="G328" s="26"/>
      <c r="H328" s="26"/>
      <c r="I328" s="44"/>
      <c r="J328" s="44"/>
      <c r="K328" s="44"/>
      <c r="L328" s="26"/>
    </row>
    <row r="329" spans="2:12" x14ac:dyDescent="0.25">
      <c r="B329" s="26"/>
      <c r="C329" s="26"/>
      <c r="D329" s="26"/>
      <c r="E329" s="26"/>
      <c r="F329" s="26"/>
      <c r="G329" s="26"/>
      <c r="H329" s="26"/>
      <c r="I329" s="44"/>
      <c r="J329" s="44"/>
      <c r="K329" s="44"/>
      <c r="L329" s="26"/>
    </row>
    <row r="330" spans="2:12" x14ac:dyDescent="0.25">
      <c r="B330" s="26"/>
      <c r="C330" s="26"/>
      <c r="D330" s="26"/>
      <c r="E330" s="26"/>
      <c r="F330" s="26"/>
      <c r="G330" s="26"/>
      <c r="H330" s="26"/>
      <c r="I330" s="44"/>
      <c r="J330" s="44"/>
      <c r="K330" s="44"/>
      <c r="L330" s="26"/>
    </row>
    <row r="331" spans="2:12" x14ac:dyDescent="0.25">
      <c r="B331" s="26"/>
      <c r="C331" s="26"/>
      <c r="D331" s="26"/>
      <c r="E331" s="26"/>
      <c r="F331" s="26"/>
      <c r="G331" s="26"/>
      <c r="H331" s="26"/>
      <c r="I331" s="44"/>
      <c r="J331" s="44"/>
      <c r="K331" s="44"/>
      <c r="L331" s="26"/>
    </row>
    <row r="332" spans="2:12" x14ac:dyDescent="0.25">
      <c r="B332" s="26"/>
      <c r="C332" s="26"/>
      <c r="D332" s="26"/>
      <c r="E332" s="26"/>
      <c r="F332" s="26"/>
      <c r="G332" s="26"/>
      <c r="H332" s="26"/>
      <c r="I332" s="44"/>
      <c r="J332" s="44"/>
      <c r="K332" s="44"/>
      <c r="L332" s="26"/>
    </row>
    <row r="333" spans="2:12" x14ac:dyDescent="0.25">
      <c r="B333" s="26"/>
      <c r="C333" s="26"/>
      <c r="D333" s="26"/>
      <c r="E333" s="26"/>
      <c r="F333" s="26"/>
      <c r="G333" s="26"/>
      <c r="H333" s="26"/>
      <c r="I333" s="44"/>
      <c r="J333" s="44"/>
      <c r="K333" s="44"/>
      <c r="L333" s="26"/>
    </row>
    <row r="334" spans="2:12" x14ac:dyDescent="0.25">
      <c r="B334" s="26"/>
      <c r="C334" s="26"/>
      <c r="D334" s="26"/>
      <c r="E334" s="26"/>
      <c r="F334" s="26"/>
      <c r="G334" s="26"/>
      <c r="H334" s="26"/>
      <c r="I334" s="44"/>
      <c r="J334" s="44"/>
      <c r="K334" s="44"/>
      <c r="L334" s="26"/>
    </row>
    <row r="335" spans="2:12" x14ac:dyDescent="0.25">
      <c r="B335" s="26"/>
      <c r="C335" s="26"/>
      <c r="D335" s="26"/>
      <c r="E335" s="26"/>
      <c r="F335" s="26"/>
      <c r="G335" s="26"/>
      <c r="H335" s="26"/>
      <c r="I335" s="44"/>
      <c r="J335" s="44"/>
      <c r="K335" s="44"/>
      <c r="L335" s="26"/>
    </row>
    <row r="336" spans="2:12" x14ac:dyDescent="0.25">
      <c r="B336" s="26"/>
      <c r="C336" s="26"/>
      <c r="D336" s="26"/>
      <c r="E336" s="26"/>
      <c r="F336" s="26"/>
      <c r="G336" s="26"/>
      <c r="H336" s="26"/>
      <c r="I336" s="44"/>
      <c r="J336" s="44"/>
      <c r="K336" s="44"/>
      <c r="L336" s="26"/>
    </row>
    <row r="337" spans="2:12" x14ac:dyDescent="0.25">
      <c r="B337" s="26"/>
      <c r="C337" s="26"/>
      <c r="D337" s="26"/>
      <c r="E337" s="26"/>
      <c r="F337" s="26"/>
      <c r="G337" s="26"/>
      <c r="H337" s="26"/>
      <c r="I337" s="44"/>
      <c r="J337" s="44"/>
      <c r="K337" s="44"/>
      <c r="L337" s="26"/>
    </row>
    <row r="338" spans="2:12" x14ac:dyDescent="0.25">
      <c r="B338" s="26"/>
      <c r="C338" s="26"/>
      <c r="D338" s="26"/>
      <c r="E338" s="26"/>
      <c r="F338" s="26"/>
      <c r="G338" s="26"/>
      <c r="H338" s="26"/>
      <c r="I338" s="44"/>
      <c r="J338" s="44"/>
      <c r="K338" s="44"/>
      <c r="L338" s="26"/>
    </row>
    <row r="339" spans="2:12" x14ac:dyDescent="0.25">
      <c r="B339" s="26"/>
      <c r="C339" s="26"/>
      <c r="D339" s="26"/>
      <c r="E339" s="26"/>
      <c r="F339" s="26"/>
      <c r="G339" s="26"/>
      <c r="H339" s="26"/>
      <c r="I339" s="44"/>
      <c r="J339" s="44"/>
      <c r="K339" s="44"/>
      <c r="L339" s="26"/>
    </row>
    <row r="340" spans="2:12" x14ac:dyDescent="0.25">
      <c r="B340" s="26"/>
      <c r="C340" s="26"/>
      <c r="D340" s="26"/>
      <c r="E340" s="26"/>
      <c r="F340" s="26"/>
      <c r="G340" s="26"/>
      <c r="H340" s="26"/>
      <c r="I340" s="44"/>
      <c r="J340" s="44"/>
      <c r="K340" s="44"/>
      <c r="L340" s="26"/>
    </row>
    <row r="341" spans="2:12" x14ac:dyDescent="0.25">
      <c r="B341" s="26"/>
      <c r="C341" s="26"/>
      <c r="D341" s="26"/>
      <c r="E341" s="26"/>
      <c r="F341" s="26"/>
      <c r="G341" s="26"/>
      <c r="H341" s="26"/>
      <c r="I341" s="44"/>
      <c r="J341" s="44"/>
      <c r="K341" s="44"/>
      <c r="L341" s="26"/>
    </row>
    <row r="342" spans="2:12" x14ac:dyDescent="0.25">
      <c r="B342" s="26"/>
      <c r="C342" s="26"/>
      <c r="D342" s="26"/>
      <c r="E342" s="26"/>
      <c r="F342" s="26"/>
      <c r="G342" s="26"/>
      <c r="H342" s="26"/>
      <c r="I342" s="44"/>
      <c r="J342" s="44"/>
      <c r="K342" s="44"/>
      <c r="L342" s="26"/>
    </row>
    <row r="343" spans="2:12" x14ac:dyDescent="0.25">
      <c r="B343" s="26"/>
      <c r="C343" s="26"/>
      <c r="D343" s="26"/>
      <c r="E343" s="26"/>
      <c r="F343" s="26"/>
      <c r="G343" s="26"/>
      <c r="H343" s="26"/>
      <c r="I343" s="44"/>
      <c r="J343" s="44"/>
      <c r="K343" s="44"/>
      <c r="L343" s="26"/>
    </row>
    <row r="344" spans="2:12" x14ac:dyDescent="0.25">
      <c r="B344" s="26"/>
      <c r="C344" s="26"/>
      <c r="D344" s="26"/>
      <c r="E344" s="26"/>
      <c r="F344" s="26"/>
      <c r="G344" s="26"/>
      <c r="H344" s="26"/>
      <c r="I344" s="44"/>
      <c r="J344" s="44"/>
      <c r="K344" s="44"/>
      <c r="L344" s="26"/>
    </row>
    <row r="345" spans="2:12" x14ac:dyDescent="0.25">
      <c r="B345" s="26"/>
      <c r="C345" s="26"/>
      <c r="D345" s="26"/>
      <c r="E345" s="26"/>
      <c r="F345" s="26"/>
      <c r="G345" s="26"/>
      <c r="H345" s="26"/>
      <c r="I345" s="44"/>
      <c r="J345" s="44"/>
      <c r="K345" s="44"/>
      <c r="L345" s="26"/>
    </row>
    <row r="346" spans="2:12" x14ac:dyDescent="0.25">
      <c r="B346" s="26"/>
      <c r="C346" s="26"/>
      <c r="D346" s="26"/>
      <c r="E346" s="26"/>
      <c r="F346" s="26"/>
      <c r="G346" s="26"/>
      <c r="H346" s="26"/>
      <c r="I346" s="44"/>
      <c r="J346" s="44"/>
      <c r="K346" s="44"/>
      <c r="L346" s="26"/>
    </row>
    <row r="347" spans="2:12" x14ac:dyDescent="0.25">
      <c r="B347" s="26"/>
      <c r="C347" s="26"/>
      <c r="D347" s="26"/>
      <c r="E347" s="26"/>
      <c r="F347" s="26"/>
      <c r="G347" s="26"/>
      <c r="H347" s="26"/>
      <c r="I347" s="44"/>
      <c r="J347" s="44"/>
      <c r="K347" s="44"/>
      <c r="L347" s="26"/>
    </row>
    <row r="348" spans="2:12" x14ac:dyDescent="0.25">
      <c r="B348" s="26"/>
      <c r="C348" s="26"/>
      <c r="D348" s="26"/>
      <c r="E348" s="26"/>
      <c r="F348" s="26"/>
      <c r="G348" s="26"/>
      <c r="H348" s="26"/>
      <c r="I348" s="44"/>
      <c r="J348" s="44"/>
      <c r="K348" s="44"/>
      <c r="L348" s="26"/>
    </row>
    <row r="349" spans="2:12" x14ac:dyDescent="0.25">
      <c r="B349" s="26"/>
      <c r="C349" s="26"/>
      <c r="D349" s="26"/>
      <c r="E349" s="26"/>
      <c r="F349" s="26"/>
      <c r="G349" s="26"/>
      <c r="H349" s="26"/>
      <c r="I349" s="44"/>
      <c r="J349" s="44"/>
      <c r="K349" s="44"/>
      <c r="L349" s="26"/>
    </row>
    <row r="350" spans="2:12" x14ac:dyDescent="0.25">
      <c r="B350" s="26"/>
      <c r="C350" s="26"/>
      <c r="D350" s="26"/>
      <c r="E350" s="26"/>
      <c r="F350" s="26"/>
      <c r="G350" s="26"/>
      <c r="H350" s="26"/>
      <c r="I350" s="44"/>
      <c r="J350" s="44"/>
      <c r="K350" s="44"/>
      <c r="L350" s="26"/>
    </row>
    <row r="351" spans="2:12" x14ac:dyDescent="0.25">
      <c r="B351" s="26"/>
      <c r="C351" s="26"/>
      <c r="D351" s="26"/>
      <c r="E351" s="26"/>
      <c r="F351" s="26"/>
      <c r="G351" s="26"/>
      <c r="H351" s="26"/>
      <c r="I351" s="44"/>
      <c r="J351" s="44"/>
      <c r="K351" s="44"/>
      <c r="L351" s="26"/>
    </row>
    <row r="352" spans="2:12" x14ac:dyDescent="0.25">
      <c r="B352" s="26"/>
      <c r="C352" s="26"/>
      <c r="D352" s="26"/>
      <c r="E352" s="26"/>
      <c r="F352" s="26"/>
      <c r="G352" s="26"/>
      <c r="H352" s="26"/>
      <c r="I352" s="44"/>
      <c r="J352" s="44"/>
      <c r="K352" s="44"/>
      <c r="L352" s="26"/>
    </row>
    <row r="353" spans="2:12" x14ac:dyDescent="0.25">
      <c r="B353" s="26"/>
      <c r="C353" s="26"/>
      <c r="D353" s="26"/>
      <c r="E353" s="26"/>
      <c r="F353" s="26"/>
      <c r="G353" s="26"/>
      <c r="H353" s="26"/>
      <c r="I353" s="44"/>
      <c r="J353" s="44"/>
      <c r="K353" s="44"/>
      <c r="L353" s="26"/>
    </row>
    <row r="354" spans="2:12" x14ac:dyDescent="0.25">
      <c r="B354" s="26"/>
      <c r="C354" s="26"/>
      <c r="D354" s="26"/>
      <c r="E354" s="26"/>
      <c r="F354" s="26"/>
      <c r="G354" s="26"/>
      <c r="H354" s="26"/>
      <c r="I354" s="44"/>
      <c r="J354" s="44"/>
      <c r="K354" s="44"/>
      <c r="L354" s="26"/>
    </row>
    <row r="355" spans="2:12" x14ac:dyDescent="0.25">
      <c r="B355" s="26"/>
      <c r="C355" s="26"/>
      <c r="D355" s="26"/>
      <c r="E355" s="26"/>
      <c r="F355" s="26"/>
      <c r="G355" s="26"/>
      <c r="H355" s="26"/>
      <c r="I355" s="44"/>
      <c r="J355" s="44"/>
      <c r="K355" s="44"/>
      <c r="L355" s="26"/>
    </row>
    <row r="356" spans="2:12" x14ac:dyDescent="0.25">
      <c r="B356" s="26"/>
      <c r="C356" s="26"/>
      <c r="D356" s="26"/>
      <c r="E356" s="26"/>
      <c r="F356" s="26"/>
      <c r="G356" s="26"/>
      <c r="H356" s="26"/>
      <c r="I356" s="44"/>
      <c r="J356" s="44"/>
      <c r="K356" s="44"/>
      <c r="L356" s="26"/>
    </row>
    <row r="357" spans="2:12" x14ac:dyDescent="0.25">
      <c r="B357" s="26"/>
      <c r="C357" s="26"/>
      <c r="D357" s="26"/>
      <c r="E357" s="26"/>
      <c r="F357" s="26"/>
      <c r="G357" s="26"/>
      <c r="H357" s="26"/>
      <c r="I357" s="44"/>
      <c r="J357" s="44"/>
      <c r="K357" s="44"/>
      <c r="L357" s="26"/>
    </row>
    <row r="358" spans="2:12" x14ac:dyDescent="0.25">
      <c r="B358" s="26"/>
      <c r="C358" s="26"/>
      <c r="D358" s="26"/>
      <c r="E358" s="26"/>
      <c r="F358" s="26"/>
      <c r="G358" s="26"/>
      <c r="H358" s="26"/>
      <c r="I358" s="44"/>
      <c r="J358" s="44"/>
      <c r="K358" s="44"/>
      <c r="L358" s="26"/>
    </row>
    <row r="359" spans="2:12" x14ac:dyDescent="0.25">
      <c r="B359" s="26"/>
      <c r="C359" s="26"/>
      <c r="D359" s="26"/>
      <c r="E359" s="26"/>
      <c r="F359" s="26"/>
      <c r="G359" s="26"/>
      <c r="H359" s="26"/>
      <c r="I359" s="44"/>
      <c r="J359" s="44"/>
      <c r="K359" s="44"/>
      <c r="L359" s="26"/>
    </row>
    <row r="360" spans="2:12" x14ac:dyDescent="0.25">
      <c r="B360" s="26"/>
      <c r="C360" s="26"/>
      <c r="D360" s="26"/>
      <c r="E360" s="26"/>
      <c r="F360" s="26"/>
      <c r="G360" s="26"/>
      <c r="H360" s="26"/>
      <c r="I360" s="44"/>
      <c r="J360" s="44"/>
      <c r="K360" s="44"/>
      <c r="L360" s="26"/>
    </row>
    <row r="361" spans="2:12" x14ac:dyDescent="0.25">
      <c r="B361" s="26"/>
      <c r="C361" s="26"/>
      <c r="D361" s="26"/>
      <c r="E361" s="26"/>
      <c r="F361" s="26"/>
      <c r="G361" s="26"/>
      <c r="H361" s="26"/>
      <c r="I361" s="44"/>
      <c r="J361" s="44"/>
      <c r="K361" s="44"/>
      <c r="L361" s="26"/>
    </row>
    <row r="362" spans="2:12" x14ac:dyDescent="0.25">
      <c r="B362" s="26"/>
      <c r="C362" s="26"/>
      <c r="D362" s="26"/>
      <c r="E362" s="26"/>
      <c r="F362" s="26"/>
      <c r="G362" s="26"/>
      <c r="H362" s="26"/>
      <c r="I362" s="44"/>
      <c r="J362" s="44"/>
      <c r="K362" s="44"/>
      <c r="L362" s="26"/>
    </row>
    <row r="363" spans="2:12" x14ac:dyDescent="0.25">
      <c r="B363" s="26"/>
      <c r="C363" s="26"/>
      <c r="D363" s="26"/>
      <c r="E363" s="26"/>
      <c r="F363" s="26"/>
      <c r="G363" s="26"/>
      <c r="H363" s="26"/>
      <c r="I363" s="44"/>
      <c r="J363" s="44"/>
      <c r="K363" s="44"/>
      <c r="L363" s="26"/>
    </row>
    <row r="364" spans="2:12" x14ac:dyDescent="0.25">
      <c r="B364" s="26"/>
      <c r="C364" s="26"/>
      <c r="D364" s="26"/>
      <c r="E364" s="26"/>
      <c r="F364" s="26"/>
      <c r="G364" s="26"/>
      <c r="H364" s="26"/>
      <c r="I364" s="44"/>
      <c r="J364" s="44"/>
      <c r="K364" s="44"/>
      <c r="L364" s="26"/>
    </row>
    <row r="365" spans="2:12" x14ac:dyDescent="0.25">
      <c r="B365" s="26"/>
      <c r="C365" s="26"/>
      <c r="D365" s="26"/>
      <c r="E365" s="26"/>
      <c r="F365" s="26"/>
      <c r="G365" s="26"/>
      <c r="H365" s="26"/>
      <c r="I365" s="44"/>
      <c r="J365" s="44"/>
      <c r="K365" s="44"/>
      <c r="L365" s="26"/>
    </row>
    <row r="366" spans="2:12" x14ac:dyDescent="0.25">
      <c r="B366" s="26"/>
      <c r="C366" s="26"/>
      <c r="D366" s="26"/>
      <c r="E366" s="26"/>
      <c r="F366" s="26"/>
      <c r="G366" s="26"/>
      <c r="H366" s="26"/>
      <c r="I366" s="44"/>
      <c r="J366" s="44"/>
      <c r="K366" s="44"/>
      <c r="L366" s="26"/>
    </row>
    <row r="367" spans="2:12" x14ac:dyDescent="0.25">
      <c r="B367" s="26"/>
      <c r="C367" s="26"/>
      <c r="D367" s="26"/>
      <c r="E367" s="26"/>
      <c r="F367" s="26"/>
      <c r="G367" s="26"/>
      <c r="H367" s="26"/>
      <c r="I367" s="44"/>
      <c r="J367" s="44"/>
      <c r="K367" s="44"/>
      <c r="L367" s="26"/>
    </row>
    <row r="368" spans="2:12" x14ac:dyDescent="0.25">
      <c r="B368" s="26"/>
      <c r="C368" s="26"/>
      <c r="D368" s="26"/>
      <c r="E368" s="26"/>
      <c r="F368" s="26"/>
      <c r="G368" s="26"/>
      <c r="H368" s="26"/>
      <c r="I368" s="44"/>
      <c r="J368" s="44"/>
      <c r="K368" s="44"/>
      <c r="L368" s="26"/>
    </row>
    <row r="369" spans="2:12" x14ac:dyDescent="0.25">
      <c r="B369" s="26"/>
      <c r="C369" s="26"/>
      <c r="D369" s="26"/>
      <c r="E369" s="26"/>
      <c r="F369" s="26"/>
      <c r="G369" s="26"/>
      <c r="H369" s="26"/>
      <c r="I369" s="44"/>
      <c r="J369" s="44"/>
      <c r="K369" s="44"/>
      <c r="L369" s="26"/>
    </row>
    <row r="370" spans="2:12" x14ac:dyDescent="0.25">
      <c r="B370" s="26"/>
      <c r="C370" s="26"/>
      <c r="D370" s="26"/>
      <c r="E370" s="26"/>
      <c r="F370" s="26"/>
      <c r="G370" s="26"/>
      <c r="H370" s="26"/>
      <c r="I370" s="44"/>
      <c r="J370" s="44"/>
      <c r="K370" s="44"/>
      <c r="L370" s="26"/>
    </row>
    <row r="371" spans="2:12" x14ac:dyDescent="0.25">
      <c r="B371" s="26"/>
      <c r="C371" s="26"/>
      <c r="D371" s="26"/>
      <c r="E371" s="26"/>
      <c r="F371" s="26"/>
      <c r="G371" s="26"/>
      <c r="H371" s="26"/>
      <c r="I371" s="44"/>
      <c r="J371" s="44"/>
      <c r="K371" s="44"/>
      <c r="L371" s="26"/>
    </row>
    <row r="372" spans="2:12" x14ac:dyDescent="0.25">
      <c r="B372" s="26"/>
      <c r="C372" s="26"/>
      <c r="D372" s="26"/>
      <c r="E372" s="26"/>
      <c r="F372" s="26"/>
      <c r="G372" s="26"/>
      <c r="H372" s="26"/>
      <c r="I372" s="44"/>
      <c r="J372" s="44"/>
      <c r="K372" s="44"/>
      <c r="L372" s="26"/>
    </row>
    <row r="373" spans="2:12" x14ac:dyDescent="0.25">
      <c r="B373" s="26"/>
      <c r="C373" s="26"/>
      <c r="D373" s="26"/>
      <c r="E373" s="26"/>
      <c r="F373" s="26"/>
      <c r="G373" s="26"/>
      <c r="H373" s="26"/>
      <c r="I373" s="44"/>
      <c r="J373" s="44"/>
      <c r="K373" s="44"/>
      <c r="L373" s="26"/>
    </row>
    <row r="374" spans="2:12" x14ac:dyDescent="0.25">
      <c r="B374" s="26"/>
      <c r="C374" s="26"/>
      <c r="D374" s="26"/>
      <c r="E374" s="26"/>
      <c r="F374" s="26"/>
      <c r="G374" s="26"/>
      <c r="H374" s="26"/>
      <c r="I374" s="44"/>
      <c r="J374" s="44"/>
      <c r="K374" s="44"/>
      <c r="L374" s="26"/>
    </row>
    <row r="375" spans="2:12" x14ac:dyDescent="0.25">
      <c r="B375" s="26"/>
      <c r="C375" s="26"/>
      <c r="D375" s="26"/>
      <c r="E375" s="26"/>
      <c r="F375" s="26"/>
      <c r="G375" s="26"/>
      <c r="H375" s="26"/>
      <c r="I375" s="44"/>
      <c r="J375" s="44"/>
      <c r="K375" s="44"/>
      <c r="L375" s="26"/>
    </row>
    <row r="376" spans="2:12" x14ac:dyDescent="0.25">
      <c r="B376" s="26"/>
      <c r="C376" s="26"/>
      <c r="D376" s="26"/>
      <c r="E376" s="26"/>
      <c r="F376" s="26"/>
      <c r="G376" s="26"/>
      <c r="H376" s="26"/>
      <c r="I376" s="44"/>
      <c r="J376" s="44"/>
      <c r="K376" s="44"/>
      <c r="L376" s="26"/>
    </row>
    <row r="377" spans="2:12" x14ac:dyDescent="0.25">
      <c r="B377" s="26"/>
      <c r="C377" s="26"/>
      <c r="D377" s="26"/>
      <c r="E377" s="26"/>
      <c r="F377" s="26"/>
      <c r="G377" s="26"/>
      <c r="H377" s="26"/>
      <c r="I377" s="44"/>
      <c r="J377" s="44"/>
      <c r="K377" s="44"/>
      <c r="L377" s="26"/>
    </row>
    <row r="378" spans="2:12" x14ac:dyDescent="0.25">
      <c r="B378" s="26"/>
      <c r="C378" s="26"/>
      <c r="D378" s="26"/>
      <c r="E378" s="26"/>
      <c r="F378" s="26"/>
      <c r="G378" s="26"/>
      <c r="H378" s="26"/>
      <c r="I378" s="44"/>
      <c r="J378" s="44"/>
      <c r="K378" s="44"/>
      <c r="L378" s="26"/>
    </row>
    <row r="379" spans="2:12" x14ac:dyDescent="0.25">
      <c r="B379" s="26"/>
      <c r="C379" s="26"/>
      <c r="D379" s="26"/>
      <c r="E379" s="26"/>
      <c r="F379" s="26"/>
      <c r="G379" s="26"/>
      <c r="H379" s="26"/>
      <c r="I379" s="44"/>
      <c r="J379" s="44"/>
      <c r="K379" s="44"/>
      <c r="L379" s="26"/>
    </row>
    <row r="380" spans="2:12" x14ac:dyDescent="0.25">
      <c r="B380" s="26"/>
      <c r="C380" s="26"/>
      <c r="D380" s="26"/>
      <c r="E380" s="26"/>
      <c r="F380" s="26"/>
      <c r="G380" s="26"/>
      <c r="H380" s="26"/>
      <c r="I380" s="44"/>
      <c r="J380" s="44"/>
      <c r="K380" s="44"/>
      <c r="L380" s="26"/>
    </row>
    <row r="381" spans="2:12" x14ac:dyDescent="0.25">
      <c r="B381" s="26"/>
      <c r="C381" s="26"/>
      <c r="D381" s="26"/>
      <c r="E381" s="26"/>
      <c r="F381" s="26"/>
      <c r="G381" s="26"/>
      <c r="H381" s="26"/>
      <c r="I381" s="44"/>
      <c r="J381" s="44"/>
      <c r="K381" s="44"/>
      <c r="L381" s="26"/>
    </row>
    <row r="382" spans="2:12" x14ac:dyDescent="0.25">
      <c r="B382" s="26"/>
      <c r="C382" s="26"/>
      <c r="D382" s="26"/>
      <c r="E382" s="26"/>
      <c r="F382" s="26"/>
      <c r="G382" s="26"/>
      <c r="H382" s="26"/>
      <c r="I382" s="44"/>
      <c r="J382" s="44"/>
      <c r="K382" s="44"/>
      <c r="L382" s="26"/>
    </row>
    <row r="383" spans="2:12" x14ac:dyDescent="0.25">
      <c r="B383" s="26"/>
      <c r="C383" s="26"/>
      <c r="D383" s="26"/>
      <c r="E383" s="26"/>
      <c r="F383" s="26"/>
      <c r="G383" s="26"/>
      <c r="H383" s="26"/>
      <c r="I383" s="44"/>
      <c r="J383" s="44"/>
      <c r="K383" s="44"/>
      <c r="L383" s="26"/>
    </row>
    <row r="384" spans="2:12" x14ac:dyDescent="0.25">
      <c r="B384" s="26"/>
      <c r="C384" s="26"/>
      <c r="D384" s="26"/>
      <c r="E384" s="26"/>
      <c r="F384" s="26"/>
      <c r="G384" s="26"/>
      <c r="H384" s="26"/>
      <c r="I384" s="44"/>
      <c r="J384" s="44"/>
      <c r="K384" s="44"/>
      <c r="L384" s="26"/>
    </row>
    <row r="385" spans="2:12" x14ac:dyDescent="0.25">
      <c r="B385" s="26"/>
      <c r="C385" s="26"/>
      <c r="D385" s="26"/>
      <c r="E385" s="26"/>
      <c r="F385" s="26"/>
      <c r="G385" s="26"/>
      <c r="H385" s="26"/>
      <c r="I385" s="44"/>
      <c r="J385" s="44"/>
      <c r="K385" s="44"/>
      <c r="L385" s="26"/>
    </row>
  </sheetData>
  <mergeCells count="7">
    <mergeCell ref="A7:B7"/>
    <mergeCell ref="C1:H3"/>
    <mergeCell ref="A4:C4"/>
    <mergeCell ref="D4:H4"/>
    <mergeCell ref="A5:C5"/>
    <mergeCell ref="D5:G5"/>
    <mergeCell ref="H5:H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&amp;L&amp;"Calibri,Regular"&amp;K184782&amp;F&amp;C&amp;"Calibri,Regular"&amp;K184782&amp;A&amp;R&amp;"Calibri,Regular"&amp;K184782&amp;P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pageSetUpPr fitToPage="1"/>
  </sheetPr>
  <dimension ref="A1:L385"/>
  <sheetViews>
    <sheetView showGridLines="0" zoomScaleNormal="100" workbookViewId="0">
      <pane ySplit="2865" topLeftCell="A75" activePane="bottomLeft"/>
      <selection activeCell="A54" sqref="A54"/>
      <selection pane="bottomLeft" activeCell="A83" sqref="A83"/>
    </sheetView>
  </sheetViews>
  <sheetFormatPr defaultRowHeight="12.75" x14ac:dyDescent="0.2"/>
  <cols>
    <col min="1" max="1" width="10.5546875" style="68" customWidth="1"/>
    <col min="2" max="2" width="7.88671875" style="68" bestFit="1" customWidth="1"/>
    <col min="3" max="3" width="7.88671875" style="68" customWidth="1"/>
    <col min="4" max="7" width="8.88671875" style="68"/>
    <col min="8" max="8" width="12.21875" style="68" customWidth="1"/>
    <col min="9" max="11" width="8.88671875" style="69"/>
    <col min="12" max="256" width="8.88671875" style="68"/>
    <col min="257" max="257" width="10.5546875" style="68" customWidth="1"/>
    <col min="258" max="258" width="7.88671875" style="68" bestFit="1" customWidth="1"/>
    <col min="259" max="259" width="7.88671875" style="68" customWidth="1"/>
    <col min="260" max="263" width="8.88671875" style="68"/>
    <col min="264" max="264" width="12.21875" style="68" customWidth="1"/>
    <col min="265" max="512" width="8.88671875" style="68"/>
    <col min="513" max="513" width="10.5546875" style="68" customWidth="1"/>
    <col min="514" max="514" width="7.88671875" style="68" bestFit="1" customWidth="1"/>
    <col min="515" max="515" width="7.88671875" style="68" customWidth="1"/>
    <col min="516" max="519" width="8.88671875" style="68"/>
    <col min="520" max="520" width="12.21875" style="68" customWidth="1"/>
    <col min="521" max="768" width="8.88671875" style="68"/>
    <col min="769" max="769" width="10.5546875" style="68" customWidth="1"/>
    <col min="770" max="770" width="7.88671875" style="68" bestFit="1" customWidth="1"/>
    <col min="771" max="771" width="7.88671875" style="68" customWidth="1"/>
    <col min="772" max="775" width="8.88671875" style="68"/>
    <col min="776" max="776" width="12.21875" style="68" customWidth="1"/>
    <col min="777" max="1024" width="8.88671875" style="68"/>
    <col min="1025" max="1025" width="10.5546875" style="68" customWidth="1"/>
    <col min="1026" max="1026" width="7.88671875" style="68" bestFit="1" customWidth="1"/>
    <col min="1027" max="1027" width="7.88671875" style="68" customWidth="1"/>
    <col min="1028" max="1031" width="8.88671875" style="68"/>
    <col min="1032" max="1032" width="12.21875" style="68" customWidth="1"/>
    <col min="1033" max="1280" width="8.88671875" style="68"/>
    <col min="1281" max="1281" width="10.5546875" style="68" customWidth="1"/>
    <col min="1282" max="1282" width="7.88671875" style="68" bestFit="1" customWidth="1"/>
    <col min="1283" max="1283" width="7.88671875" style="68" customWidth="1"/>
    <col min="1284" max="1287" width="8.88671875" style="68"/>
    <col min="1288" max="1288" width="12.21875" style="68" customWidth="1"/>
    <col min="1289" max="1536" width="8.88671875" style="68"/>
    <col min="1537" max="1537" width="10.5546875" style="68" customWidth="1"/>
    <col min="1538" max="1538" width="7.88671875" style="68" bestFit="1" customWidth="1"/>
    <col min="1539" max="1539" width="7.88671875" style="68" customWidth="1"/>
    <col min="1540" max="1543" width="8.88671875" style="68"/>
    <col min="1544" max="1544" width="12.21875" style="68" customWidth="1"/>
    <col min="1545" max="1792" width="8.88671875" style="68"/>
    <col min="1793" max="1793" width="10.5546875" style="68" customWidth="1"/>
    <col min="1794" max="1794" width="7.88671875" style="68" bestFit="1" customWidth="1"/>
    <col min="1795" max="1795" width="7.88671875" style="68" customWidth="1"/>
    <col min="1796" max="1799" width="8.88671875" style="68"/>
    <col min="1800" max="1800" width="12.21875" style="68" customWidth="1"/>
    <col min="1801" max="2048" width="8.88671875" style="68"/>
    <col min="2049" max="2049" width="10.5546875" style="68" customWidth="1"/>
    <col min="2050" max="2050" width="7.88671875" style="68" bestFit="1" customWidth="1"/>
    <col min="2051" max="2051" width="7.88671875" style="68" customWidth="1"/>
    <col min="2052" max="2055" width="8.88671875" style="68"/>
    <col min="2056" max="2056" width="12.21875" style="68" customWidth="1"/>
    <col min="2057" max="2304" width="8.88671875" style="68"/>
    <col min="2305" max="2305" width="10.5546875" style="68" customWidth="1"/>
    <col min="2306" max="2306" width="7.88671875" style="68" bestFit="1" customWidth="1"/>
    <col min="2307" max="2307" width="7.88671875" style="68" customWidth="1"/>
    <col min="2308" max="2311" width="8.88671875" style="68"/>
    <col min="2312" max="2312" width="12.21875" style="68" customWidth="1"/>
    <col min="2313" max="2560" width="8.88671875" style="68"/>
    <col min="2561" max="2561" width="10.5546875" style="68" customWidth="1"/>
    <col min="2562" max="2562" width="7.88671875" style="68" bestFit="1" customWidth="1"/>
    <col min="2563" max="2563" width="7.88671875" style="68" customWidth="1"/>
    <col min="2564" max="2567" width="8.88671875" style="68"/>
    <col min="2568" max="2568" width="12.21875" style="68" customWidth="1"/>
    <col min="2569" max="2816" width="8.88671875" style="68"/>
    <col min="2817" max="2817" width="10.5546875" style="68" customWidth="1"/>
    <col min="2818" max="2818" width="7.88671875" style="68" bestFit="1" customWidth="1"/>
    <col min="2819" max="2819" width="7.88671875" style="68" customWidth="1"/>
    <col min="2820" max="2823" width="8.88671875" style="68"/>
    <col min="2824" max="2824" width="12.21875" style="68" customWidth="1"/>
    <col min="2825" max="3072" width="8.88671875" style="68"/>
    <col min="3073" max="3073" width="10.5546875" style="68" customWidth="1"/>
    <col min="3074" max="3074" width="7.88671875" style="68" bestFit="1" customWidth="1"/>
    <col min="3075" max="3075" width="7.88671875" style="68" customWidth="1"/>
    <col min="3076" max="3079" width="8.88671875" style="68"/>
    <col min="3080" max="3080" width="12.21875" style="68" customWidth="1"/>
    <col min="3081" max="3328" width="8.88671875" style="68"/>
    <col min="3329" max="3329" width="10.5546875" style="68" customWidth="1"/>
    <col min="3330" max="3330" width="7.88671875" style="68" bestFit="1" customWidth="1"/>
    <col min="3331" max="3331" width="7.88671875" style="68" customWidth="1"/>
    <col min="3332" max="3335" width="8.88671875" style="68"/>
    <col min="3336" max="3336" width="12.21875" style="68" customWidth="1"/>
    <col min="3337" max="3584" width="8.88671875" style="68"/>
    <col min="3585" max="3585" width="10.5546875" style="68" customWidth="1"/>
    <col min="3586" max="3586" width="7.88671875" style="68" bestFit="1" customWidth="1"/>
    <col min="3587" max="3587" width="7.88671875" style="68" customWidth="1"/>
    <col min="3588" max="3591" width="8.88671875" style="68"/>
    <col min="3592" max="3592" width="12.21875" style="68" customWidth="1"/>
    <col min="3593" max="3840" width="8.88671875" style="68"/>
    <col min="3841" max="3841" width="10.5546875" style="68" customWidth="1"/>
    <col min="3842" max="3842" width="7.88671875" style="68" bestFit="1" customWidth="1"/>
    <col min="3843" max="3843" width="7.88671875" style="68" customWidth="1"/>
    <col min="3844" max="3847" width="8.88671875" style="68"/>
    <col min="3848" max="3848" width="12.21875" style="68" customWidth="1"/>
    <col min="3849" max="4096" width="8.88671875" style="68"/>
    <col min="4097" max="4097" width="10.5546875" style="68" customWidth="1"/>
    <col min="4098" max="4098" width="7.88671875" style="68" bestFit="1" customWidth="1"/>
    <col min="4099" max="4099" width="7.88671875" style="68" customWidth="1"/>
    <col min="4100" max="4103" width="8.88671875" style="68"/>
    <col min="4104" max="4104" width="12.21875" style="68" customWidth="1"/>
    <col min="4105" max="4352" width="8.88671875" style="68"/>
    <col min="4353" max="4353" width="10.5546875" style="68" customWidth="1"/>
    <col min="4354" max="4354" width="7.88671875" style="68" bestFit="1" customWidth="1"/>
    <col min="4355" max="4355" width="7.88671875" style="68" customWidth="1"/>
    <col min="4356" max="4359" width="8.88671875" style="68"/>
    <col min="4360" max="4360" width="12.21875" style="68" customWidth="1"/>
    <col min="4361" max="4608" width="8.88671875" style="68"/>
    <col min="4609" max="4609" width="10.5546875" style="68" customWidth="1"/>
    <col min="4610" max="4610" width="7.88671875" style="68" bestFit="1" customWidth="1"/>
    <col min="4611" max="4611" width="7.88671875" style="68" customWidth="1"/>
    <col min="4612" max="4615" width="8.88671875" style="68"/>
    <col min="4616" max="4616" width="12.21875" style="68" customWidth="1"/>
    <col min="4617" max="4864" width="8.88671875" style="68"/>
    <col min="4865" max="4865" width="10.5546875" style="68" customWidth="1"/>
    <col min="4866" max="4866" width="7.88671875" style="68" bestFit="1" customWidth="1"/>
    <col min="4867" max="4867" width="7.88671875" style="68" customWidth="1"/>
    <col min="4868" max="4871" width="8.88671875" style="68"/>
    <col min="4872" max="4872" width="12.21875" style="68" customWidth="1"/>
    <col min="4873" max="5120" width="8.88671875" style="68"/>
    <col min="5121" max="5121" width="10.5546875" style="68" customWidth="1"/>
    <col min="5122" max="5122" width="7.88671875" style="68" bestFit="1" customWidth="1"/>
    <col min="5123" max="5123" width="7.88671875" style="68" customWidth="1"/>
    <col min="5124" max="5127" width="8.88671875" style="68"/>
    <col min="5128" max="5128" width="12.21875" style="68" customWidth="1"/>
    <col min="5129" max="5376" width="8.88671875" style="68"/>
    <col min="5377" max="5377" width="10.5546875" style="68" customWidth="1"/>
    <col min="5378" max="5378" width="7.88671875" style="68" bestFit="1" customWidth="1"/>
    <col min="5379" max="5379" width="7.88671875" style="68" customWidth="1"/>
    <col min="5380" max="5383" width="8.88671875" style="68"/>
    <col min="5384" max="5384" width="12.21875" style="68" customWidth="1"/>
    <col min="5385" max="5632" width="8.88671875" style="68"/>
    <col min="5633" max="5633" width="10.5546875" style="68" customWidth="1"/>
    <col min="5634" max="5634" width="7.88671875" style="68" bestFit="1" customWidth="1"/>
    <col min="5635" max="5635" width="7.88671875" style="68" customWidth="1"/>
    <col min="5636" max="5639" width="8.88671875" style="68"/>
    <col min="5640" max="5640" width="12.21875" style="68" customWidth="1"/>
    <col min="5641" max="5888" width="8.88671875" style="68"/>
    <col min="5889" max="5889" width="10.5546875" style="68" customWidth="1"/>
    <col min="5890" max="5890" width="7.88671875" style="68" bestFit="1" customWidth="1"/>
    <col min="5891" max="5891" width="7.88671875" style="68" customWidth="1"/>
    <col min="5892" max="5895" width="8.88671875" style="68"/>
    <col min="5896" max="5896" width="12.21875" style="68" customWidth="1"/>
    <col min="5897" max="6144" width="8.88671875" style="68"/>
    <col min="6145" max="6145" width="10.5546875" style="68" customWidth="1"/>
    <col min="6146" max="6146" width="7.88671875" style="68" bestFit="1" customWidth="1"/>
    <col min="6147" max="6147" width="7.88671875" style="68" customWidth="1"/>
    <col min="6148" max="6151" width="8.88671875" style="68"/>
    <col min="6152" max="6152" width="12.21875" style="68" customWidth="1"/>
    <col min="6153" max="6400" width="8.88671875" style="68"/>
    <col min="6401" max="6401" width="10.5546875" style="68" customWidth="1"/>
    <col min="6402" max="6402" width="7.88671875" style="68" bestFit="1" customWidth="1"/>
    <col min="6403" max="6403" width="7.88671875" style="68" customWidth="1"/>
    <col min="6404" max="6407" width="8.88671875" style="68"/>
    <col min="6408" max="6408" width="12.21875" style="68" customWidth="1"/>
    <col min="6409" max="6656" width="8.88671875" style="68"/>
    <col min="6657" max="6657" width="10.5546875" style="68" customWidth="1"/>
    <col min="6658" max="6658" width="7.88671875" style="68" bestFit="1" customWidth="1"/>
    <col min="6659" max="6659" width="7.88671875" style="68" customWidth="1"/>
    <col min="6660" max="6663" width="8.88671875" style="68"/>
    <col min="6664" max="6664" width="12.21875" style="68" customWidth="1"/>
    <col min="6665" max="6912" width="8.88671875" style="68"/>
    <col min="6913" max="6913" width="10.5546875" style="68" customWidth="1"/>
    <col min="6914" max="6914" width="7.88671875" style="68" bestFit="1" customWidth="1"/>
    <col min="6915" max="6915" width="7.88671875" style="68" customWidth="1"/>
    <col min="6916" max="6919" width="8.88671875" style="68"/>
    <col min="6920" max="6920" width="12.21875" style="68" customWidth="1"/>
    <col min="6921" max="7168" width="8.88671875" style="68"/>
    <col min="7169" max="7169" width="10.5546875" style="68" customWidth="1"/>
    <col min="7170" max="7170" width="7.88671875" style="68" bestFit="1" customWidth="1"/>
    <col min="7171" max="7171" width="7.88671875" style="68" customWidth="1"/>
    <col min="7172" max="7175" width="8.88671875" style="68"/>
    <col min="7176" max="7176" width="12.21875" style="68" customWidth="1"/>
    <col min="7177" max="7424" width="8.88671875" style="68"/>
    <col min="7425" max="7425" width="10.5546875" style="68" customWidth="1"/>
    <col min="7426" max="7426" width="7.88671875" style="68" bestFit="1" customWidth="1"/>
    <col min="7427" max="7427" width="7.88671875" style="68" customWidth="1"/>
    <col min="7428" max="7431" width="8.88671875" style="68"/>
    <col min="7432" max="7432" width="12.21875" style="68" customWidth="1"/>
    <col min="7433" max="7680" width="8.88671875" style="68"/>
    <col min="7681" max="7681" width="10.5546875" style="68" customWidth="1"/>
    <col min="7682" max="7682" width="7.88671875" style="68" bestFit="1" customWidth="1"/>
    <col min="7683" max="7683" width="7.88671875" style="68" customWidth="1"/>
    <col min="7684" max="7687" width="8.88671875" style="68"/>
    <col min="7688" max="7688" width="12.21875" style="68" customWidth="1"/>
    <col min="7689" max="7936" width="8.88671875" style="68"/>
    <col min="7937" max="7937" width="10.5546875" style="68" customWidth="1"/>
    <col min="7938" max="7938" width="7.88671875" style="68" bestFit="1" customWidth="1"/>
    <col min="7939" max="7939" width="7.88671875" style="68" customWidth="1"/>
    <col min="7940" max="7943" width="8.88671875" style="68"/>
    <col min="7944" max="7944" width="12.21875" style="68" customWidth="1"/>
    <col min="7945" max="8192" width="8.88671875" style="68"/>
    <col min="8193" max="8193" width="10.5546875" style="68" customWidth="1"/>
    <col min="8194" max="8194" width="7.88671875" style="68" bestFit="1" customWidth="1"/>
    <col min="8195" max="8195" width="7.88671875" style="68" customWidth="1"/>
    <col min="8196" max="8199" width="8.88671875" style="68"/>
    <col min="8200" max="8200" width="12.21875" style="68" customWidth="1"/>
    <col min="8201" max="8448" width="8.88671875" style="68"/>
    <col min="8449" max="8449" width="10.5546875" style="68" customWidth="1"/>
    <col min="8450" max="8450" width="7.88671875" style="68" bestFit="1" customWidth="1"/>
    <col min="8451" max="8451" width="7.88671875" style="68" customWidth="1"/>
    <col min="8452" max="8455" width="8.88671875" style="68"/>
    <col min="8456" max="8456" width="12.21875" style="68" customWidth="1"/>
    <col min="8457" max="8704" width="8.88671875" style="68"/>
    <col min="8705" max="8705" width="10.5546875" style="68" customWidth="1"/>
    <col min="8706" max="8706" width="7.88671875" style="68" bestFit="1" customWidth="1"/>
    <col min="8707" max="8707" width="7.88671875" style="68" customWidth="1"/>
    <col min="8708" max="8711" width="8.88671875" style="68"/>
    <col min="8712" max="8712" width="12.21875" style="68" customWidth="1"/>
    <col min="8713" max="8960" width="8.88671875" style="68"/>
    <col min="8961" max="8961" width="10.5546875" style="68" customWidth="1"/>
    <col min="8962" max="8962" width="7.88671875" style="68" bestFit="1" customWidth="1"/>
    <col min="8963" max="8963" width="7.88671875" style="68" customWidth="1"/>
    <col min="8964" max="8967" width="8.88671875" style="68"/>
    <col min="8968" max="8968" width="12.21875" style="68" customWidth="1"/>
    <col min="8969" max="9216" width="8.88671875" style="68"/>
    <col min="9217" max="9217" width="10.5546875" style="68" customWidth="1"/>
    <col min="9218" max="9218" width="7.88671875" style="68" bestFit="1" customWidth="1"/>
    <col min="9219" max="9219" width="7.88671875" style="68" customWidth="1"/>
    <col min="9220" max="9223" width="8.88671875" style="68"/>
    <col min="9224" max="9224" width="12.21875" style="68" customWidth="1"/>
    <col min="9225" max="9472" width="8.88671875" style="68"/>
    <col min="9473" max="9473" width="10.5546875" style="68" customWidth="1"/>
    <col min="9474" max="9474" width="7.88671875" style="68" bestFit="1" customWidth="1"/>
    <col min="9475" max="9475" width="7.88671875" style="68" customWidth="1"/>
    <col min="9476" max="9479" width="8.88671875" style="68"/>
    <col min="9480" max="9480" width="12.21875" style="68" customWidth="1"/>
    <col min="9481" max="9728" width="8.88671875" style="68"/>
    <col min="9729" max="9729" width="10.5546875" style="68" customWidth="1"/>
    <col min="9730" max="9730" width="7.88671875" style="68" bestFit="1" customWidth="1"/>
    <col min="9731" max="9731" width="7.88671875" style="68" customWidth="1"/>
    <col min="9732" max="9735" width="8.88671875" style="68"/>
    <col min="9736" max="9736" width="12.21875" style="68" customWidth="1"/>
    <col min="9737" max="9984" width="8.88671875" style="68"/>
    <col min="9985" max="9985" width="10.5546875" style="68" customWidth="1"/>
    <col min="9986" max="9986" width="7.88671875" style="68" bestFit="1" customWidth="1"/>
    <col min="9987" max="9987" width="7.88671875" style="68" customWidth="1"/>
    <col min="9988" max="9991" width="8.88671875" style="68"/>
    <col min="9992" max="9992" width="12.21875" style="68" customWidth="1"/>
    <col min="9993" max="10240" width="8.88671875" style="68"/>
    <col min="10241" max="10241" width="10.5546875" style="68" customWidth="1"/>
    <col min="10242" max="10242" width="7.88671875" style="68" bestFit="1" customWidth="1"/>
    <col min="10243" max="10243" width="7.88671875" style="68" customWidth="1"/>
    <col min="10244" max="10247" width="8.88671875" style="68"/>
    <col min="10248" max="10248" width="12.21875" style="68" customWidth="1"/>
    <col min="10249" max="10496" width="8.88671875" style="68"/>
    <col min="10497" max="10497" width="10.5546875" style="68" customWidth="1"/>
    <col min="10498" max="10498" width="7.88671875" style="68" bestFit="1" customWidth="1"/>
    <col min="10499" max="10499" width="7.88671875" style="68" customWidth="1"/>
    <col min="10500" max="10503" width="8.88671875" style="68"/>
    <col min="10504" max="10504" width="12.21875" style="68" customWidth="1"/>
    <col min="10505" max="10752" width="8.88671875" style="68"/>
    <col min="10753" max="10753" width="10.5546875" style="68" customWidth="1"/>
    <col min="10754" max="10754" width="7.88671875" style="68" bestFit="1" customWidth="1"/>
    <col min="10755" max="10755" width="7.88671875" style="68" customWidth="1"/>
    <col min="10756" max="10759" width="8.88671875" style="68"/>
    <col min="10760" max="10760" width="12.21875" style="68" customWidth="1"/>
    <col min="10761" max="11008" width="8.88671875" style="68"/>
    <col min="11009" max="11009" width="10.5546875" style="68" customWidth="1"/>
    <col min="11010" max="11010" width="7.88671875" style="68" bestFit="1" customWidth="1"/>
    <col min="11011" max="11011" width="7.88671875" style="68" customWidth="1"/>
    <col min="11012" max="11015" width="8.88671875" style="68"/>
    <col min="11016" max="11016" width="12.21875" style="68" customWidth="1"/>
    <col min="11017" max="11264" width="8.88671875" style="68"/>
    <col min="11265" max="11265" width="10.5546875" style="68" customWidth="1"/>
    <col min="11266" max="11266" width="7.88671875" style="68" bestFit="1" customWidth="1"/>
    <col min="11267" max="11267" width="7.88671875" style="68" customWidth="1"/>
    <col min="11268" max="11271" width="8.88671875" style="68"/>
    <col min="11272" max="11272" width="12.21875" style="68" customWidth="1"/>
    <col min="11273" max="11520" width="8.88671875" style="68"/>
    <col min="11521" max="11521" width="10.5546875" style="68" customWidth="1"/>
    <col min="11522" max="11522" width="7.88671875" style="68" bestFit="1" customWidth="1"/>
    <col min="11523" max="11523" width="7.88671875" style="68" customWidth="1"/>
    <col min="11524" max="11527" width="8.88671875" style="68"/>
    <col min="11528" max="11528" width="12.21875" style="68" customWidth="1"/>
    <col min="11529" max="11776" width="8.88671875" style="68"/>
    <col min="11777" max="11777" width="10.5546875" style="68" customWidth="1"/>
    <col min="11778" max="11778" width="7.88671875" style="68" bestFit="1" customWidth="1"/>
    <col min="11779" max="11779" width="7.88671875" style="68" customWidth="1"/>
    <col min="11780" max="11783" width="8.88671875" style="68"/>
    <col min="11784" max="11784" width="12.21875" style="68" customWidth="1"/>
    <col min="11785" max="12032" width="8.88671875" style="68"/>
    <col min="12033" max="12033" width="10.5546875" style="68" customWidth="1"/>
    <col min="12034" max="12034" width="7.88671875" style="68" bestFit="1" customWidth="1"/>
    <col min="12035" max="12035" width="7.88671875" style="68" customWidth="1"/>
    <col min="12036" max="12039" width="8.88671875" style="68"/>
    <col min="12040" max="12040" width="12.21875" style="68" customWidth="1"/>
    <col min="12041" max="12288" width="8.88671875" style="68"/>
    <col min="12289" max="12289" width="10.5546875" style="68" customWidth="1"/>
    <col min="12290" max="12290" width="7.88671875" style="68" bestFit="1" customWidth="1"/>
    <col min="12291" max="12291" width="7.88671875" style="68" customWidth="1"/>
    <col min="12292" max="12295" width="8.88671875" style="68"/>
    <col min="12296" max="12296" width="12.21875" style="68" customWidth="1"/>
    <col min="12297" max="12544" width="8.88671875" style="68"/>
    <col min="12545" max="12545" width="10.5546875" style="68" customWidth="1"/>
    <col min="12546" max="12546" width="7.88671875" style="68" bestFit="1" customWidth="1"/>
    <col min="12547" max="12547" width="7.88671875" style="68" customWidth="1"/>
    <col min="12548" max="12551" width="8.88671875" style="68"/>
    <col min="12552" max="12552" width="12.21875" style="68" customWidth="1"/>
    <col min="12553" max="12800" width="8.88671875" style="68"/>
    <col min="12801" max="12801" width="10.5546875" style="68" customWidth="1"/>
    <col min="12802" max="12802" width="7.88671875" style="68" bestFit="1" customWidth="1"/>
    <col min="12803" max="12803" width="7.88671875" style="68" customWidth="1"/>
    <col min="12804" max="12807" width="8.88671875" style="68"/>
    <col min="12808" max="12808" width="12.21875" style="68" customWidth="1"/>
    <col min="12809" max="13056" width="8.88671875" style="68"/>
    <col min="13057" max="13057" width="10.5546875" style="68" customWidth="1"/>
    <col min="13058" max="13058" width="7.88671875" style="68" bestFit="1" customWidth="1"/>
    <col min="13059" max="13059" width="7.88671875" style="68" customWidth="1"/>
    <col min="13060" max="13063" width="8.88671875" style="68"/>
    <col min="13064" max="13064" width="12.21875" style="68" customWidth="1"/>
    <col min="13065" max="13312" width="8.88671875" style="68"/>
    <col min="13313" max="13313" width="10.5546875" style="68" customWidth="1"/>
    <col min="13314" max="13314" width="7.88671875" style="68" bestFit="1" customWidth="1"/>
    <col min="13315" max="13315" width="7.88671875" style="68" customWidth="1"/>
    <col min="13316" max="13319" width="8.88671875" style="68"/>
    <col min="13320" max="13320" width="12.21875" style="68" customWidth="1"/>
    <col min="13321" max="13568" width="8.88671875" style="68"/>
    <col min="13569" max="13569" width="10.5546875" style="68" customWidth="1"/>
    <col min="13570" max="13570" width="7.88671875" style="68" bestFit="1" customWidth="1"/>
    <col min="13571" max="13571" width="7.88671875" style="68" customWidth="1"/>
    <col min="13572" max="13575" width="8.88671875" style="68"/>
    <col min="13576" max="13576" width="12.21875" style="68" customWidth="1"/>
    <col min="13577" max="13824" width="8.88671875" style="68"/>
    <col min="13825" max="13825" width="10.5546875" style="68" customWidth="1"/>
    <col min="13826" max="13826" width="7.88671875" style="68" bestFit="1" customWidth="1"/>
    <col min="13827" max="13827" width="7.88671875" style="68" customWidth="1"/>
    <col min="13828" max="13831" width="8.88671875" style="68"/>
    <col min="13832" max="13832" width="12.21875" style="68" customWidth="1"/>
    <col min="13833" max="14080" width="8.88671875" style="68"/>
    <col min="14081" max="14081" width="10.5546875" style="68" customWidth="1"/>
    <col min="14082" max="14082" width="7.88671875" style="68" bestFit="1" customWidth="1"/>
    <col min="14083" max="14083" width="7.88671875" style="68" customWidth="1"/>
    <col min="14084" max="14087" width="8.88671875" style="68"/>
    <col min="14088" max="14088" width="12.21875" style="68" customWidth="1"/>
    <col min="14089" max="14336" width="8.88671875" style="68"/>
    <col min="14337" max="14337" width="10.5546875" style="68" customWidth="1"/>
    <col min="14338" max="14338" width="7.88671875" style="68" bestFit="1" customWidth="1"/>
    <col min="14339" max="14339" width="7.88671875" style="68" customWidth="1"/>
    <col min="14340" max="14343" width="8.88671875" style="68"/>
    <col min="14344" max="14344" width="12.21875" style="68" customWidth="1"/>
    <col min="14345" max="14592" width="8.88671875" style="68"/>
    <col min="14593" max="14593" width="10.5546875" style="68" customWidth="1"/>
    <col min="14594" max="14594" width="7.88671875" style="68" bestFit="1" customWidth="1"/>
    <col min="14595" max="14595" width="7.88671875" style="68" customWidth="1"/>
    <col min="14596" max="14599" width="8.88671875" style="68"/>
    <col min="14600" max="14600" width="12.21875" style="68" customWidth="1"/>
    <col min="14601" max="14848" width="8.88671875" style="68"/>
    <col min="14849" max="14849" width="10.5546875" style="68" customWidth="1"/>
    <col min="14850" max="14850" width="7.88671875" style="68" bestFit="1" customWidth="1"/>
    <col min="14851" max="14851" width="7.88671875" style="68" customWidth="1"/>
    <col min="14852" max="14855" width="8.88671875" style="68"/>
    <col min="14856" max="14856" width="12.21875" style="68" customWidth="1"/>
    <col min="14857" max="15104" width="8.88671875" style="68"/>
    <col min="15105" max="15105" width="10.5546875" style="68" customWidth="1"/>
    <col min="15106" max="15106" width="7.88671875" style="68" bestFit="1" customWidth="1"/>
    <col min="15107" max="15107" width="7.88671875" style="68" customWidth="1"/>
    <col min="15108" max="15111" width="8.88671875" style="68"/>
    <col min="15112" max="15112" width="12.21875" style="68" customWidth="1"/>
    <col min="15113" max="15360" width="8.88671875" style="68"/>
    <col min="15361" max="15361" width="10.5546875" style="68" customWidth="1"/>
    <col min="15362" max="15362" width="7.88671875" style="68" bestFit="1" customWidth="1"/>
    <col min="15363" max="15363" width="7.88671875" style="68" customWidth="1"/>
    <col min="15364" max="15367" width="8.88671875" style="68"/>
    <col min="15368" max="15368" width="12.21875" style="68" customWidth="1"/>
    <col min="15369" max="15616" width="8.88671875" style="68"/>
    <col min="15617" max="15617" width="10.5546875" style="68" customWidth="1"/>
    <col min="15618" max="15618" width="7.88671875" style="68" bestFit="1" customWidth="1"/>
    <col min="15619" max="15619" width="7.88671875" style="68" customWidth="1"/>
    <col min="15620" max="15623" width="8.88671875" style="68"/>
    <col min="15624" max="15624" width="12.21875" style="68" customWidth="1"/>
    <col min="15625" max="15872" width="8.88671875" style="68"/>
    <col min="15873" max="15873" width="10.5546875" style="68" customWidth="1"/>
    <col min="15874" max="15874" width="7.88671875" style="68" bestFit="1" customWidth="1"/>
    <col min="15875" max="15875" width="7.88671875" style="68" customWidth="1"/>
    <col min="15876" max="15879" width="8.88671875" style="68"/>
    <col min="15880" max="15880" width="12.21875" style="68" customWidth="1"/>
    <col min="15881" max="16128" width="8.88671875" style="68"/>
    <col min="16129" max="16129" width="10.5546875" style="68" customWidth="1"/>
    <col min="16130" max="16130" width="7.88671875" style="68" bestFit="1" customWidth="1"/>
    <col min="16131" max="16131" width="7.88671875" style="68" customWidth="1"/>
    <col min="16132" max="16135" width="8.88671875" style="68"/>
    <col min="16136" max="16136" width="12.21875" style="68" customWidth="1"/>
    <col min="16137" max="16384" width="8.88671875" style="68"/>
  </cols>
  <sheetData>
    <row r="1" spans="1:11" ht="16.5" customHeight="1" x14ac:dyDescent="0.2">
      <c r="B1" s="2"/>
      <c r="C1" s="2"/>
      <c r="D1" s="196" t="s">
        <v>296</v>
      </c>
      <c r="E1" s="196"/>
      <c r="F1" s="196"/>
      <c r="G1" s="196"/>
      <c r="H1" s="196"/>
    </row>
    <row r="2" spans="1:11" ht="17.25" customHeight="1" x14ac:dyDescent="0.2">
      <c r="A2" s="2"/>
      <c r="B2" s="2"/>
      <c r="C2" s="2"/>
      <c r="D2" s="196"/>
      <c r="E2" s="196"/>
      <c r="F2" s="196"/>
      <c r="G2" s="196"/>
      <c r="H2" s="196"/>
    </row>
    <row r="3" spans="1:11" ht="21" customHeight="1" thickBot="1" x14ac:dyDescent="0.25">
      <c r="A3" s="2"/>
      <c r="B3" s="2"/>
      <c r="C3" s="2"/>
      <c r="D3" s="196"/>
      <c r="E3" s="196"/>
      <c r="F3" s="196"/>
      <c r="G3" s="196"/>
      <c r="H3" s="196"/>
    </row>
    <row r="4" spans="1:11" ht="21" customHeight="1" thickBot="1" x14ac:dyDescent="0.25">
      <c r="A4" s="214" t="s">
        <v>270</v>
      </c>
      <c r="B4" s="215"/>
      <c r="C4" s="215"/>
      <c r="D4" s="216" t="s">
        <v>271</v>
      </c>
      <c r="E4" s="216"/>
      <c r="F4" s="216"/>
      <c r="G4" s="216"/>
      <c r="H4" s="217"/>
    </row>
    <row r="5" spans="1:11" ht="22.5" customHeight="1" thickBot="1" x14ac:dyDescent="0.25">
      <c r="A5" s="218" t="s">
        <v>4</v>
      </c>
      <c r="B5" s="219"/>
      <c r="C5" s="219"/>
      <c r="D5" s="207" t="s">
        <v>5</v>
      </c>
      <c r="E5" s="208"/>
      <c r="F5" s="208"/>
      <c r="G5" s="209"/>
      <c r="H5" s="220" t="s">
        <v>6</v>
      </c>
    </row>
    <row r="6" spans="1:11" ht="13.5" thickBot="1" x14ac:dyDescent="0.25">
      <c r="A6" s="70" t="s">
        <v>269</v>
      </c>
      <c r="B6" s="71" t="s">
        <v>8</v>
      </c>
      <c r="C6" s="71" t="s">
        <v>9</v>
      </c>
      <c r="D6" s="71" t="s">
        <v>10</v>
      </c>
      <c r="E6" s="71" t="s">
        <v>11</v>
      </c>
      <c r="F6" s="71" t="s">
        <v>12</v>
      </c>
      <c r="G6" s="71" t="s">
        <v>13</v>
      </c>
      <c r="H6" s="221"/>
      <c r="I6" s="72"/>
      <c r="J6" s="72"/>
      <c r="K6" s="73"/>
    </row>
    <row r="7" spans="1:11" ht="16.5" customHeight="1" thickBot="1" x14ac:dyDescent="0.25">
      <c r="A7" s="74" t="s">
        <v>14</v>
      </c>
      <c r="B7" s="75"/>
      <c r="C7" s="75"/>
      <c r="D7" s="75"/>
      <c r="E7" s="75"/>
      <c r="F7" s="75"/>
      <c r="G7" s="75"/>
      <c r="H7" s="76"/>
      <c r="I7" s="72"/>
      <c r="J7" s="72"/>
      <c r="K7" s="73"/>
    </row>
    <row r="8" spans="1:11" ht="16.5" customHeight="1" x14ac:dyDescent="0.25">
      <c r="A8" s="12" t="s">
        <v>232</v>
      </c>
      <c r="B8" s="148">
        <f>[2]ÓLEOS!$G$18</f>
        <v>4.0679999999999996</v>
      </c>
      <c r="C8" s="14">
        <f>100*B8/B$8</f>
        <v>100</v>
      </c>
      <c r="D8" s="14"/>
      <c r="E8" s="14"/>
      <c r="F8" s="14"/>
      <c r="G8" s="34"/>
      <c r="H8" s="35">
        <f>$B$81/B8</f>
        <v>0.44829564077351702</v>
      </c>
      <c r="I8" s="73"/>
      <c r="J8" s="73"/>
      <c r="K8" s="73"/>
    </row>
    <row r="9" spans="1:11" ht="16.5" customHeight="1" x14ac:dyDescent="0.25">
      <c r="A9" s="15" t="s">
        <v>233</v>
      </c>
      <c r="B9" s="149">
        <f>[3]ÓLEOS!$G$18</f>
        <v>4.0980000000000008</v>
      </c>
      <c r="C9" s="17">
        <f t="shared" ref="C9:C54" si="0">100*B9/B$8</f>
        <v>100.73746312684368</v>
      </c>
      <c r="D9" s="150">
        <f t="shared" ref="D9:D51" si="1">100*(B9/B8-1)</f>
        <v>0.73746312684368487</v>
      </c>
      <c r="E9" s="150">
        <f>100*((B9/$B$8)-1)</f>
        <v>0.73746312684368487</v>
      </c>
      <c r="F9" s="150"/>
      <c r="G9" s="151"/>
      <c r="H9" s="41">
        <f>$B$81/B9</f>
        <v>0.4450138278835204</v>
      </c>
      <c r="I9" s="73"/>
      <c r="J9" s="73"/>
      <c r="K9" s="73"/>
    </row>
    <row r="10" spans="1:11" ht="16.5" customHeight="1" x14ac:dyDescent="0.25">
      <c r="A10" s="15" t="s">
        <v>234</v>
      </c>
      <c r="B10" s="149">
        <f>[4]ÓLEOS!$G$18</f>
        <v>4.1070000000000002</v>
      </c>
      <c r="C10" s="17">
        <f t="shared" si="0"/>
        <v>100.95870206489677</v>
      </c>
      <c r="D10" s="150">
        <f t="shared" si="1"/>
        <v>0.21961932650071958</v>
      </c>
      <c r="E10" s="150">
        <f t="shared" ref="E10:E17" si="2">100*((B10/$B$8)-1)</f>
        <v>0.9587020648967659</v>
      </c>
      <c r="F10" s="150"/>
      <c r="G10" s="151"/>
      <c r="H10" s="41">
        <f>$B$81/B10</f>
        <v>0.4440386332278225</v>
      </c>
      <c r="I10" s="73"/>
      <c r="J10" s="73"/>
      <c r="K10" s="73"/>
    </row>
    <row r="11" spans="1:11" ht="16.5" customHeight="1" x14ac:dyDescent="0.25">
      <c r="A11" s="15" t="s">
        <v>235</v>
      </c>
      <c r="B11" s="149">
        <f>[5]ÓLEOS!$G$18</f>
        <v>4.1020000000000003</v>
      </c>
      <c r="C11" s="17">
        <f t="shared" si="0"/>
        <v>100.83579154375617</v>
      </c>
      <c r="D11" s="150">
        <f t="shared" si="1"/>
        <v>-0.12174336498660399</v>
      </c>
      <c r="E11" s="150">
        <f t="shared" si="2"/>
        <v>0.83579154375617026</v>
      </c>
      <c r="F11" s="150"/>
      <c r="G11" s="151"/>
      <c r="H11" s="41">
        <f t="shared" ref="H11:H74" si="3">$B$81/B11</f>
        <v>0.44457987973346341</v>
      </c>
      <c r="I11" s="73"/>
      <c r="J11" s="73"/>
      <c r="K11" s="73"/>
    </row>
    <row r="12" spans="1:11" ht="16.5" customHeight="1" x14ac:dyDescent="0.25">
      <c r="A12" s="15" t="s">
        <v>236</v>
      </c>
      <c r="B12" s="149">
        <f>[6]ÓLEOS!$G$18</f>
        <v>4.1020000000000003</v>
      </c>
      <c r="C12" s="17">
        <f t="shared" si="0"/>
        <v>100.83579154375617</v>
      </c>
      <c r="D12" s="150">
        <f t="shared" si="1"/>
        <v>0</v>
      </c>
      <c r="E12" s="150">
        <f t="shared" si="2"/>
        <v>0.83579154375617026</v>
      </c>
      <c r="F12" s="150"/>
      <c r="G12" s="151"/>
      <c r="H12" s="41">
        <f t="shared" si="3"/>
        <v>0.44457987973346341</v>
      </c>
      <c r="I12" s="73"/>
      <c r="J12" s="73"/>
      <c r="K12" s="73"/>
    </row>
    <row r="13" spans="1:11" ht="16.5" customHeight="1" x14ac:dyDescent="0.25">
      <c r="A13" s="15" t="s">
        <v>237</v>
      </c>
      <c r="B13" s="149">
        <f>[7]ÓLEOS!$G$18</f>
        <v>4.1539999999999999</v>
      </c>
      <c r="C13" s="17">
        <f t="shared" si="0"/>
        <v>102.11406096361848</v>
      </c>
      <c r="D13" s="150">
        <f t="shared" si="1"/>
        <v>1.2676743052169481</v>
      </c>
      <c r="E13" s="150">
        <f t="shared" si="2"/>
        <v>2.1140609636185026</v>
      </c>
      <c r="F13" s="150"/>
      <c r="G13" s="151"/>
      <c r="H13" s="41">
        <f t="shared" si="3"/>
        <v>0.43901460439736811</v>
      </c>
      <c r="I13" s="73"/>
      <c r="J13" s="73"/>
      <c r="K13" s="73"/>
    </row>
    <row r="14" spans="1:11" ht="16.5" customHeight="1" x14ac:dyDescent="0.25">
      <c r="A14" s="15" t="s">
        <v>238</v>
      </c>
      <c r="B14" s="149">
        <f>[8]ÓLEOS!$G$18</f>
        <v>4.1980000000000004</v>
      </c>
      <c r="C14" s="17">
        <f t="shared" si="0"/>
        <v>103.19567354965588</v>
      </c>
      <c r="D14" s="150">
        <f t="shared" si="1"/>
        <v>1.0592200288878306</v>
      </c>
      <c r="E14" s="150">
        <f t="shared" si="2"/>
        <v>3.1956735496558641</v>
      </c>
      <c r="F14" s="150"/>
      <c r="G14" s="151"/>
      <c r="H14" s="41">
        <f t="shared" si="3"/>
        <v>0.43441321264094018</v>
      </c>
      <c r="I14" s="73"/>
      <c r="J14" s="73"/>
      <c r="K14" s="73"/>
    </row>
    <row r="15" spans="1:11" ht="16.5" customHeight="1" x14ac:dyDescent="0.25">
      <c r="A15" s="15" t="s">
        <v>239</v>
      </c>
      <c r="B15" s="149">
        <f>[9]ÓLEOS!$G$18</f>
        <v>4.1980000000000004</v>
      </c>
      <c r="C15" s="17">
        <f t="shared" si="0"/>
        <v>103.19567354965588</v>
      </c>
      <c r="D15" s="150">
        <f t="shared" si="1"/>
        <v>0</v>
      </c>
      <c r="E15" s="150">
        <f t="shared" si="2"/>
        <v>3.1956735496558641</v>
      </c>
      <c r="F15" s="150"/>
      <c r="G15" s="151"/>
      <c r="H15" s="41">
        <f t="shared" si="3"/>
        <v>0.43441321264094018</v>
      </c>
      <c r="I15" s="73"/>
      <c r="J15" s="73"/>
      <c r="K15" s="73"/>
    </row>
    <row r="16" spans="1:11" ht="16.5" customHeight="1" x14ac:dyDescent="0.25">
      <c r="A16" s="15" t="s">
        <v>240</v>
      </c>
      <c r="B16" s="149">
        <f>[10]ÓLEOS!$G$18</f>
        <v>4.0980000000000008</v>
      </c>
      <c r="C16" s="17">
        <f t="shared" si="0"/>
        <v>100.73746312684368</v>
      </c>
      <c r="D16" s="150">
        <f t="shared" si="1"/>
        <v>-2.3820867079561658</v>
      </c>
      <c r="E16" s="150">
        <f t="shared" si="2"/>
        <v>0.73746312684368487</v>
      </c>
      <c r="F16" s="150"/>
      <c r="G16" s="151"/>
      <c r="H16" s="41">
        <f t="shared" si="3"/>
        <v>0.4450138278835204</v>
      </c>
      <c r="I16" s="77"/>
      <c r="J16" s="73"/>
      <c r="K16" s="73"/>
    </row>
    <row r="17" spans="1:11" ht="16.5" customHeight="1" x14ac:dyDescent="0.25">
      <c r="A17" s="15" t="s">
        <v>241</v>
      </c>
      <c r="B17" s="149">
        <f>[11]ÓLEOS!$G$18</f>
        <v>4.0980000000000008</v>
      </c>
      <c r="C17" s="17">
        <f t="shared" si="0"/>
        <v>100.73746312684368</v>
      </c>
      <c r="D17" s="150">
        <f t="shared" si="1"/>
        <v>0</v>
      </c>
      <c r="E17" s="150">
        <f t="shared" si="2"/>
        <v>0.73746312684368487</v>
      </c>
      <c r="F17" s="150"/>
      <c r="G17" s="151"/>
      <c r="H17" s="41">
        <f t="shared" si="3"/>
        <v>0.4450138278835204</v>
      </c>
      <c r="I17" s="77"/>
      <c r="J17" s="73"/>
      <c r="K17" s="73"/>
    </row>
    <row r="18" spans="1:11" ht="16.5" customHeight="1" x14ac:dyDescent="0.25">
      <c r="A18" s="15" t="s">
        <v>242</v>
      </c>
      <c r="B18" s="149">
        <f>[12]ÓLEOS!$G$18</f>
        <v>4.0980000000000008</v>
      </c>
      <c r="C18" s="17">
        <f t="shared" si="0"/>
        <v>100.73746312684368</v>
      </c>
      <c r="D18" s="150">
        <f t="shared" si="1"/>
        <v>0</v>
      </c>
      <c r="E18" s="150">
        <f>100*((B18/$B$17)-1)</f>
        <v>0</v>
      </c>
      <c r="F18" s="150"/>
      <c r="G18" s="151"/>
      <c r="H18" s="41">
        <f t="shared" si="3"/>
        <v>0.4450138278835204</v>
      </c>
      <c r="I18" s="77"/>
      <c r="J18" s="73"/>
      <c r="K18" s="73"/>
    </row>
    <row r="19" spans="1:11" ht="16.5" customHeight="1" x14ac:dyDescent="0.25">
      <c r="A19" s="15" t="s">
        <v>243</v>
      </c>
      <c r="B19" s="149">
        <f>[13]ÓLEOS!$G$18</f>
        <v>4.0980000000000008</v>
      </c>
      <c r="C19" s="17">
        <f t="shared" si="0"/>
        <v>100.73746312684368</v>
      </c>
      <c r="D19" s="150">
        <f t="shared" si="1"/>
        <v>0</v>
      </c>
      <c r="E19" s="150">
        <f t="shared" ref="E19:E29" si="4">100*((B19/$B$17)-1)</f>
        <v>0</v>
      </c>
      <c r="F19" s="150"/>
      <c r="G19" s="151"/>
      <c r="H19" s="41">
        <f t="shared" si="3"/>
        <v>0.4450138278835204</v>
      </c>
      <c r="I19" s="77"/>
      <c r="J19" s="73"/>
      <c r="K19" s="73"/>
    </row>
    <row r="20" spans="1:11" ht="16.5" customHeight="1" x14ac:dyDescent="0.25">
      <c r="A20" s="15" t="s">
        <v>244</v>
      </c>
      <c r="B20" s="149">
        <f>[14]ÓLEOS!$G$18</f>
        <v>4.0980000000000008</v>
      </c>
      <c r="C20" s="17">
        <f t="shared" si="0"/>
        <v>100.73746312684368</v>
      </c>
      <c r="D20" s="150">
        <f t="shared" si="1"/>
        <v>0</v>
      </c>
      <c r="E20" s="150">
        <f t="shared" si="4"/>
        <v>0</v>
      </c>
      <c r="F20" s="152">
        <f t="shared" ref="F20:F51" si="5">(100*(B20/B8-1))</f>
        <v>0.73746312684368487</v>
      </c>
      <c r="G20" s="153"/>
      <c r="H20" s="41">
        <f t="shared" si="3"/>
        <v>0.4450138278835204</v>
      </c>
      <c r="I20" s="77"/>
      <c r="J20" s="73"/>
      <c r="K20" s="73"/>
    </row>
    <row r="21" spans="1:11" ht="16.5" customHeight="1" x14ac:dyDescent="0.25">
      <c r="A21" s="15" t="s">
        <v>245</v>
      </c>
      <c r="B21" s="149">
        <f>[15]ÓLEOS!$G$18</f>
        <v>4.0980000000000008</v>
      </c>
      <c r="C21" s="17">
        <f t="shared" si="0"/>
        <v>100.73746312684368</v>
      </c>
      <c r="D21" s="150">
        <f t="shared" si="1"/>
        <v>0</v>
      </c>
      <c r="E21" s="150">
        <f t="shared" si="4"/>
        <v>0</v>
      </c>
      <c r="F21" s="152">
        <f t="shared" si="5"/>
        <v>0</v>
      </c>
      <c r="G21" s="153"/>
      <c r="H21" s="41">
        <f t="shared" si="3"/>
        <v>0.4450138278835204</v>
      </c>
      <c r="I21" s="77"/>
      <c r="J21" s="73"/>
      <c r="K21" s="73"/>
    </row>
    <row r="22" spans="1:11" ht="16.5" customHeight="1" x14ac:dyDescent="0.25">
      <c r="A22" s="15" t="s">
        <v>246</v>
      </c>
      <c r="B22" s="149">
        <f>[16]ÓLEOS!$G$18</f>
        <v>4.0980000000000008</v>
      </c>
      <c r="C22" s="17">
        <f t="shared" si="0"/>
        <v>100.73746312684368</v>
      </c>
      <c r="D22" s="150">
        <f t="shared" si="1"/>
        <v>0</v>
      </c>
      <c r="E22" s="150">
        <f t="shared" si="4"/>
        <v>0</v>
      </c>
      <c r="F22" s="152">
        <f t="shared" si="5"/>
        <v>-0.21913805697587607</v>
      </c>
      <c r="G22" s="153"/>
      <c r="H22" s="41">
        <f t="shared" si="3"/>
        <v>0.4450138278835204</v>
      </c>
      <c r="I22" s="77"/>
      <c r="J22" s="73"/>
      <c r="K22" s="73"/>
    </row>
    <row r="23" spans="1:11" ht="16.5" customHeight="1" x14ac:dyDescent="0.25">
      <c r="A23" s="15" t="s">
        <v>247</v>
      </c>
      <c r="B23" s="149">
        <f>[17]ÓLEOS!$G$18</f>
        <v>4.0980000000000008</v>
      </c>
      <c r="C23" s="17">
        <f t="shared" si="0"/>
        <v>100.73746312684368</v>
      </c>
      <c r="D23" s="150">
        <f t="shared" si="1"/>
        <v>0</v>
      </c>
      <c r="E23" s="150">
        <f t="shared" si="4"/>
        <v>0</v>
      </c>
      <c r="F23" s="152">
        <f t="shared" si="5"/>
        <v>-9.7513408093596876E-2</v>
      </c>
      <c r="G23" s="153"/>
      <c r="H23" s="41">
        <f t="shared" si="3"/>
        <v>0.4450138278835204</v>
      </c>
      <c r="I23" s="73"/>
      <c r="J23" s="73"/>
      <c r="K23" s="73"/>
    </row>
    <row r="24" spans="1:11" ht="16.5" customHeight="1" x14ac:dyDescent="0.25">
      <c r="A24" s="15" t="s">
        <v>248</v>
      </c>
      <c r="B24" s="149">
        <f>[18]ÓLEOS!$G$18</f>
        <v>3.8880000000000003</v>
      </c>
      <c r="C24" s="17">
        <f t="shared" si="0"/>
        <v>95.57522123893807</v>
      </c>
      <c r="D24" s="150">
        <f t="shared" si="1"/>
        <v>-5.1244509516837571</v>
      </c>
      <c r="E24" s="150">
        <f t="shared" si="4"/>
        <v>-5.1244509516837571</v>
      </c>
      <c r="F24" s="152">
        <f t="shared" si="5"/>
        <v>-5.2169673330082826</v>
      </c>
      <c r="G24" s="153"/>
      <c r="H24" s="41">
        <f t="shared" si="3"/>
        <v>0.46905006858710568</v>
      </c>
      <c r="I24" s="73"/>
      <c r="J24" s="73"/>
      <c r="K24" s="73"/>
    </row>
    <row r="25" spans="1:11" ht="16.5" customHeight="1" x14ac:dyDescent="0.25">
      <c r="A25" s="15" t="s">
        <v>249</v>
      </c>
      <c r="B25" s="149">
        <f>[19]ÓLEOS!$G$18</f>
        <v>3.8880000000000003</v>
      </c>
      <c r="C25" s="17">
        <f t="shared" si="0"/>
        <v>95.57522123893807</v>
      </c>
      <c r="D25" s="150">
        <f t="shared" si="1"/>
        <v>0</v>
      </c>
      <c r="E25" s="150">
        <f t="shared" si="4"/>
        <v>-5.1244509516837571</v>
      </c>
      <c r="F25" s="152">
        <f t="shared" si="5"/>
        <v>-6.4034665382763478</v>
      </c>
      <c r="G25" s="153"/>
      <c r="H25" s="41">
        <f t="shared" si="3"/>
        <v>0.46905006858710568</v>
      </c>
      <c r="I25" s="73"/>
      <c r="J25" s="73"/>
      <c r="K25" s="73"/>
    </row>
    <row r="26" spans="1:11" ht="16.5" customHeight="1" x14ac:dyDescent="0.25">
      <c r="A26" s="15" t="s">
        <v>250</v>
      </c>
      <c r="B26" s="149">
        <f>[20]ÓLEOS!$G$18</f>
        <v>3.8880000000000003</v>
      </c>
      <c r="C26" s="17">
        <f t="shared" si="0"/>
        <v>95.57522123893807</v>
      </c>
      <c r="D26" s="150">
        <f t="shared" si="1"/>
        <v>0</v>
      </c>
      <c r="E26" s="150">
        <f t="shared" si="4"/>
        <v>-5.1244509516837571</v>
      </c>
      <c r="F26" s="152">
        <f t="shared" si="5"/>
        <v>-7.384468794664123</v>
      </c>
      <c r="G26" s="153"/>
      <c r="H26" s="41">
        <f t="shared" si="3"/>
        <v>0.46905006858710568</v>
      </c>
      <c r="I26" s="73"/>
      <c r="J26" s="73"/>
      <c r="K26" s="73"/>
    </row>
    <row r="27" spans="1:11" ht="16.5" customHeight="1" x14ac:dyDescent="0.25">
      <c r="A27" s="15" t="s">
        <v>251</v>
      </c>
      <c r="B27" s="149">
        <f>[21]ÓLEOS!$G$18</f>
        <v>3.8880000000000003</v>
      </c>
      <c r="C27" s="17">
        <f t="shared" si="0"/>
        <v>95.57522123893807</v>
      </c>
      <c r="D27" s="150">
        <f t="shared" si="1"/>
        <v>0</v>
      </c>
      <c r="E27" s="150">
        <f t="shared" si="4"/>
        <v>-5.1244509516837571</v>
      </c>
      <c r="F27" s="152">
        <f t="shared" si="5"/>
        <v>-7.384468794664123</v>
      </c>
      <c r="G27" s="153"/>
      <c r="H27" s="41">
        <f t="shared" si="3"/>
        <v>0.46905006858710568</v>
      </c>
      <c r="I27" s="73"/>
      <c r="J27" s="73"/>
      <c r="K27" s="73"/>
    </row>
    <row r="28" spans="1:11" ht="16.5" customHeight="1" x14ac:dyDescent="0.25">
      <c r="A28" s="15" t="s">
        <v>252</v>
      </c>
      <c r="B28" s="149">
        <f>[22]ÓLEOS!$G$18</f>
        <v>3.8880000000000003</v>
      </c>
      <c r="C28" s="17">
        <f t="shared" si="0"/>
        <v>95.57522123893807</v>
      </c>
      <c r="D28" s="150">
        <f t="shared" si="1"/>
        <v>0</v>
      </c>
      <c r="E28" s="150">
        <f t="shared" si="4"/>
        <v>-5.1244509516837571</v>
      </c>
      <c r="F28" s="152">
        <f t="shared" si="5"/>
        <v>-5.1244509516837571</v>
      </c>
      <c r="G28" s="153"/>
      <c r="H28" s="41">
        <f t="shared" si="3"/>
        <v>0.46905006858710568</v>
      </c>
      <c r="I28" s="73"/>
      <c r="J28" s="73"/>
      <c r="K28" s="73"/>
    </row>
    <row r="29" spans="1:11" ht="16.5" customHeight="1" x14ac:dyDescent="0.25">
      <c r="A29" s="15" t="s">
        <v>253</v>
      </c>
      <c r="B29" s="149">
        <f>[23]ÓLEOS!$G$18</f>
        <v>3.8880000000000003</v>
      </c>
      <c r="C29" s="17">
        <f t="shared" si="0"/>
        <v>95.57522123893807</v>
      </c>
      <c r="D29" s="150">
        <f t="shared" si="1"/>
        <v>0</v>
      </c>
      <c r="E29" s="150">
        <f t="shared" si="4"/>
        <v>-5.1244509516837571</v>
      </c>
      <c r="F29" s="152">
        <f t="shared" si="5"/>
        <v>-5.1244509516837571</v>
      </c>
      <c r="G29" s="153"/>
      <c r="H29" s="41">
        <f t="shared" si="3"/>
        <v>0.46905006858710568</v>
      </c>
      <c r="I29" s="73"/>
      <c r="J29" s="73"/>
      <c r="K29" s="73"/>
    </row>
    <row r="30" spans="1:11" ht="16.5" customHeight="1" x14ac:dyDescent="0.25">
      <c r="A30" s="15" t="s">
        <v>254</v>
      </c>
      <c r="B30" s="149">
        <f>[24]ÓLEOS!$G$18</f>
        <v>4.0589999999999993</v>
      </c>
      <c r="C30" s="17">
        <f t="shared" si="0"/>
        <v>99.778761061946895</v>
      </c>
      <c r="D30" s="150">
        <f t="shared" si="1"/>
        <v>4.3981481481481177</v>
      </c>
      <c r="E30" s="150">
        <f t="shared" ref="E30:E41" si="6">100*((B30/$B$29)-1)</f>
        <v>4.3981481481481177</v>
      </c>
      <c r="F30" s="152">
        <f t="shared" si="5"/>
        <v>-0.95168374816987367</v>
      </c>
      <c r="G30" s="153"/>
      <c r="H30" s="41">
        <f t="shared" si="3"/>
        <v>0.4492896444115958</v>
      </c>
      <c r="I30" s="77"/>
      <c r="J30" s="73"/>
      <c r="K30" s="73"/>
    </row>
    <row r="31" spans="1:11" ht="16.5" customHeight="1" x14ac:dyDescent="0.25">
      <c r="A31" s="15" t="s">
        <v>255</v>
      </c>
      <c r="B31" s="149">
        <f>[25]ÓLEOS!$G$18</f>
        <v>4.0589999999999993</v>
      </c>
      <c r="C31" s="17">
        <f t="shared" si="0"/>
        <v>99.778761061946895</v>
      </c>
      <c r="D31" s="150">
        <f t="shared" si="1"/>
        <v>0</v>
      </c>
      <c r="E31" s="150">
        <f t="shared" si="6"/>
        <v>4.3981481481481177</v>
      </c>
      <c r="F31" s="152">
        <f t="shared" si="5"/>
        <v>-0.95168374816987367</v>
      </c>
      <c r="G31" s="153"/>
      <c r="H31" s="41">
        <f t="shared" si="3"/>
        <v>0.4492896444115958</v>
      </c>
      <c r="I31" s="73"/>
      <c r="J31" s="73"/>
      <c r="K31" s="73"/>
    </row>
    <row r="32" spans="1:11" ht="16.5" customHeight="1" x14ac:dyDescent="0.25">
      <c r="A32" s="15" t="s">
        <v>256</v>
      </c>
      <c r="B32" s="149">
        <f>[26]ÓLEOS!$G$18</f>
        <v>3.3914285714285719</v>
      </c>
      <c r="C32" s="17">
        <f t="shared" si="0"/>
        <v>83.368450625087803</v>
      </c>
      <c r="D32" s="150">
        <f t="shared" si="1"/>
        <v>-16.44669693450178</v>
      </c>
      <c r="E32" s="150">
        <f t="shared" si="6"/>
        <v>-12.771898883009991</v>
      </c>
      <c r="F32" s="152">
        <f t="shared" si="5"/>
        <v>-17.241860140835254</v>
      </c>
      <c r="G32" s="153">
        <f t="shared" ref="G32:G55" si="7">100*(B32/B8-1)</f>
        <v>-16.63154937491219</v>
      </c>
      <c r="H32" s="41">
        <f t="shared" si="3"/>
        <v>0.53772816624543673</v>
      </c>
      <c r="I32" s="73"/>
      <c r="J32" s="73"/>
      <c r="K32" s="73"/>
    </row>
    <row r="33" spans="1:11" ht="16.5" customHeight="1" x14ac:dyDescent="0.25">
      <c r="A33" s="15" t="s">
        <v>257</v>
      </c>
      <c r="B33" s="149">
        <f>[27]ÓLEOS!$G$18</f>
        <v>3.3914285714285719</v>
      </c>
      <c r="C33" s="17">
        <f t="shared" si="0"/>
        <v>83.368450625087803</v>
      </c>
      <c r="D33" s="150">
        <f t="shared" si="1"/>
        <v>0</v>
      </c>
      <c r="E33" s="150">
        <f t="shared" si="6"/>
        <v>-12.771898883009991</v>
      </c>
      <c r="F33" s="152">
        <f t="shared" si="5"/>
        <v>-17.241860140835254</v>
      </c>
      <c r="G33" s="153">
        <f t="shared" si="7"/>
        <v>-17.241860140835254</v>
      </c>
      <c r="H33" s="41">
        <f t="shared" si="3"/>
        <v>0.53772816624543673</v>
      </c>
      <c r="I33" s="73"/>
      <c r="J33" s="73"/>
      <c r="K33" s="73"/>
    </row>
    <row r="34" spans="1:11" ht="16.5" customHeight="1" x14ac:dyDescent="0.25">
      <c r="A34" s="15" t="s">
        <v>258</v>
      </c>
      <c r="B34" s="149">
        <f>[28]ÓLEOS!$G$18</f>
        <v>3.3200000000000003</v>
      </c>
      <c r="C34" s="17">
        <f t="shared" si="0"/>
        <v>81.612586037364807</v>
      </c>
      <c r="D34" s="150">
        <f t="shared" si="1"/>
        <v>-2.1061499578770015</v>
      </c>
      <c r="E34" s="150">
        <f t="shared" si="6"/>
        <v>-14.609053497942392</v>
      </c>
      <c r="F34" s="152">
        <f t="shared" si="5"/>
        <v>-18.984870668618846</v>
      </c>
      <c r="G34" s="153">
        <f t="shared" si="7"/>
        <v>-19.162405648892133</v>
      </c>
      <c r="H34" s="41">
        <f t="shared" si="3"/>
        <v>0.54929718875502009</v>
      </c>
      <c r="I34" s="73"/>
      <c r="J34" s="73"/>
      <c r="K34" s="73"/>
    </row>
    <row r="35" spans="1:11" ht="16.5" customHeight="1" x14ac:dyDescent="0.25">
      <c r="A35" s="15" t="s">
        <v>259</v>
      </c>
      <c r="B35" s="149">
        <f>[29]ÓLEOS!$G$18</f>
        <v>3.3914285714285719</v>
      </c>
      <c r="C35" s="17">
        <f t="shared" si="0"/>
        <v>83.368450625087803</v>
      </c>
      <c r="D35" s="150">
        <f t="shared" si="1"/>
        <v>2.1514629948364838</v>
      </c>
      <c r="E35" s="150">
        <f t="shared" si="6"/>
        <v>-12.771898883009991</v>
      </c>
      <c r="F35" s="152">
        <f t="shared" si="5"/>
        <v>-17.241860140835254</v>
      </c>
      <c r="G35" s="153">
        <f t="shared" si="7"/>
        <v>-17.322560423486799</v>
      </c>
      <c r="H35" s="41">
        <f t="shared" si="3"/>
        <v>0.53772816624543673</v>
      </c>
      <c r="I35" s="73"/>
      <c r="J35" s="73"/>
      <c r="K35" s="73"/>
    </row>
    <row r="36" spans="1:11" ht="16.5" customHeight="1" x14ac:dyDescent="0.25">
      <c r="A36" s="15" t="s">
        <v>260</v>
      </c>
      <c r="B36" s="149">
        <f>[30]ÓLEOS!$G$18</f>
        <v>3.3914285714285719</v>
      </c>
      <c r="C36" s="17">
        <f t="shared" si="0"/>
        <v>83.368450625087803</v>
      </c>
      <c r="D36" s="150">
        <f t="shared" si="1"/>
        <v>0</v>
      </c>
      <c r="E36" s="150">
        <f t="shared" si="6"/>
        <v>-12.771898883009991</v>
      </c>
      <c r="F36" s="152">
        <f t="shared" si="5"/>
        <v>-12.771898883009991</v>
      </c>
      <c r="G36" s="153">
        <f t="shared" si="7"/>
        <v>-17.322560423486799</v>
      </c>
      <c r="H36" s="41">
        <f t="shared" si="3"/>
        <v>0.53772816624543673</v>
      </c>
      <c r="I36" s="73"/>
      <c r="J36" s="73"/>
      <c r="K36" s="73"/>
    </row>
    <row r="37" spans="1:11" ht="16.5" customHeight="1" x14ac:dyDescent="0.25">
      <c r="A37" s="15" t="s">
        <v>261</v>
      </c>
      <c r="B37" s="149">
        <f>[31]ÓLEOS!$G$18</f>
        <v>2.94</v>
      </c>
      <c r="C37" s="17">
        <f t="shared" si="0"/>
        <v>72.271386430678476</v>
      </c>
      <c r="D37" s="150">
        <f t="shared" si="1"/>
        <v>-13.310867733782661</v>
      </c>
      <c r="E37" s="150">
        <f t="shared" si="6"/>
        <v>-24.382716049382726</v>
      </c>
      <c r="F37" s="152">
        <f t="shared" si="5"/>
        <v>-24.382716049382726</v>
      </c>
      <c r="G37" s="153">
        <f t="shared" si="7"/>
        <v>-29.224843524313915</v>
      </c>
      <c r="H37" s="41">
        <f t="shared" si="3"/>
        <v>0.62029478458049903</v>
      </c>
      <c r="I37" s="73"/>
      <c r="J37" s="73"/>
      <c r="K37" s="73"/>
    </row>
    <row r="38" spans="1:11" ht="16.5" customHeight="1" x14ac:dyDescent="0.25">
      <c r="A38" s="15" t="s">
        <v>262</v>
      </c>
      <c r="B38" s="149">
        <f>[32]ÓLEOS!$G$18</f>
        <v>2.94</v>
      </c>
      <c r="C38" s="17">
        <f t="shared" si="0"/>
        <v>72.271386430678476</v>
      </c>
      <c r="D38" s="150">
        <f t="shared" si="1"/>
        <v>0</v>
      </c>
      <c r="E38" s="150">
        <f t="shared" si="6"/>
        <v>-24.382716049382726</v>
      </c>
      <c r="F38" s="152">
        <f t="shared" si="5"/>
        <v>-24.382716049382726</v>
      </c>
      <c r="G38" s="153">
        <f t="shared" si="7"/>
        <v>-29.966650786088621</v>
      </c>
      <c r="H38" s="41">
        <f t="shared" si="3"/>
        <v>0.62029478458049903</v>
      </c>
      <c r="I38" s="73"/>
      <c r="J38" s="73"/>
      <c r="K38" s="73"/>
    </row>
    <row r="39" spans="1:11" ht="16.5" customHeight="1" x14ac:dyDescent="0.25">
      <c r="A39" s="15" t="s">
        <v>263</v>
      </c>
      <c r="B39" s="149">
        <f>[33]ÓLEOS!$G$18</f>
        <v>2.94</v>
      </c>
      <c r="C39" s="17">
        <f t="shared" si="0"/>
        <v>72.271386430678476</v>
      </c>
      <c r="D39" s="150">
        <f t="shared" si="1"/>
        <v>0</v>
      </c>
      <c r="E39" s="150">
        <f t="shared" si="6"/>
        <v>-24.382716049382726</v>
      </c>
      <c r="F39" s="152">
        <f t="shared" si="5"/>
        <v>-24.382716049382726</v>
      </c>
      <c r="G39" s="153">
        <f t="shared" si="7"/>
        <v>-29.966650786088621</v>
      </c>
      <c r="H39" s="41">
        <f t="shared" si="3"/>
        <v>0.62029478458049903</v>
      </c>
      <c r="I39" s="73"/>
      <c r="J39" s="73"/>
      <c r="K39" s="73"/>
    </row>
    <row r="40" spans="1:11" ht="16.5" customHeight="1" x14ac:dyDescent="0.25">
      <c r="A40" s="15" t="s">
        <v>264</v>
      </c>
      <c r="B40" s="149">
        <f>[34]ÓLEOS!$G$18</f>
        <v>2.94</v>
      </c>
      <c r="C40" s="17">
        <f t="shared" si="0"/>
        <v>72.271386430678476</v>
      </c>
      <c r="D40" s="150">
        <f t="shared" si="1"/>
        <v>0</v>
      </c>
      <c r="E40" s="150">
        <f t="shared" si="6"/>
        <v>-24.382716049382726</v>
      </c>
      <c r="F40" s="152">
        <f t="shared" si="5"/>
        <v>-24.382716049382726</v>
      </c>
      <c r="G40" s="153">
        <f t="shared" si="7"/>
        <v>-28.257686676427539</v>
      </c>
      <c r="H40" s="41">
        <f t="shared" si="3"/>
        <v>0.62029478458049903</v>
      </c>
      <c r="I40" s="73"/>
      <c r="J40" s="73"/>
      <c r="K40" s="73"/>
    </row>
    <row r="41" spans="1:11" ht="16.5" customHeight="1" x14ac:dyDescent="0.25">
      <c r="A41" s="15" t="s">
        <v>265</v>
      </c>
      <c r="B41" s="149">
        <f>[35]ÓLEOS!$G$18</f>
        <v>2.94</v>
      </c>
      <c r="C41" s="17">
        <f t="shared" si="0"/>
        <v>72.271386430678476</v>
      </c>
      <c r="D41" s="150">
        <f t="shared" si="1"/>
        <v>0</v>
      </c>
      <c r="E41" s="150">
        <f t="shared" si="6"/>
        <v>-24.382716049382726</v>
      </c>
      <c r="F41" s="152">
        <f t="shared" si="5"/>
        <v>-24.382716049382726</v>
      </c>
      <c r="G41" s="153">
        <f t="shared" si="7"/>
        <v>-28.257686676427539</v>
      </c>
      <c r="H41" s="41">
        <f t="shared" si="3"/>
        <v>0.62029478458049903</v>
      </c>
      <c r="I41" s="73"/>
      <c r="J41" s="73"/>
      <c r="K41" s="73"/>
    </row>
    <row r="42" spans="1:11" ht="16.5" customHeight="1" x14ac:dyDescent="0.25">
      <c r="A42" s="15" t="s">
        <v>266</v>
      </c>
      <c r="B42" s="149">
        <f>[36]ÓLEOS!$G$18</f>
        <v>2.9408333333333334</v>
      </c>
      <c r="C42" s="17">
        <f t="shared" si="0"/>
        <v>72.291871517535242</v>
      </c>
      <c r="D42" s="150">
        <f t="shared" si="1"/>
        <v>2.8344671201807614E-2</v>
      </c>
      <c r="E42" s="150">
        <f t="shared" ref="E42:E53" si="8">100*((B42/$B$41)-1)</f>
        <v>2.8344671201807614E-2</v>
      </c>
      <c r="F42" s="152">
        <f t="shared" si="5"/>
        <v>-27.547836084421441</v>
      </c>
      <c r="G42" s="153">
        <f t="shared" si="7"/>
        <v>-28.237351553603396</v>
      </c>
      <c r="H42" s="41">
        <f t="shared" si="3"/>
        <v>0.62011901388495339</v>
      </c>
      <c r="I42" s="73"/>
      <c r="J42" s="73"/>
      <c r="K42" s="73"/>
    </row>
    <row r="43" spans="1:11" ht="16.5" customHeight="1" x14ac:dyDescent="0.25">
      <c r="A43" s="15" t="s">
        <v>267</v>
      </c>
      <c r="B43" s="149">
        <f>[37]ÓLEOS!$G$18</f>
        <v>3.0574999999999997</v>
      </c>
      <c r="C43" s="17">
        <f t="shared" si="0"/>
        <v>75.159783677482793</v>
      </c>
      <c r="D43" s="150">
        <f t="shared" si="1"/>
        <v>3.9671294984414684</v>
      </c>
      <c r="E43" s="150">
        <f t="shared" si="8"/>
        <v>3.9965986394557618</v>
      </c>
      <c r="F43" s="152">
        <f t="shared" si="5"/>
        <v>-24.673564917467349</v>
      </c>
      <c r="G43" s="153">
        <f t="shared" si="7"/>
        <v>-25.390434358223544</v>
      </c>
      <c r="H43" s="41">
        <f t="shared" si="3"/>
        <v>0.59645680021804326</v>
      </c>
      <c r="I43" s="73"/>
      <c r="J43" s="73"/>
      <c r="K43" s="73"/>
    </row>
    <row r="44" spans="1:11" ht="16.5" customHeight="1" x14ac:dyDescent="0.25">
      <c r="A44" s="15" t="s">
        <v>268</v>
      </c>
      <c r="B44" s="149">
        <f>[38]ÓLEOS!$G$18</f>
        <v>2.9816666666666669</v>
      </c>
      <c r="C44" s="17">
        <f t="shared" si="0"/>
        <v>73.295640773516894</v>
      </c>
      <c r="D44" s="150">
        <f t="shared" si="1"/>
        <v>-2.4802398473698362</v>
      </c>
      <c r="E44" s="150">
        <f t="shared" si="8"/>
        <v>1.4172335600907138</v>
      </c>
      <c r="F44" s="152">
        <f t="shared" si="5"/>
        <v>-12.082280258354405</v>
      </c>
      <c r="G44" s="153">
        <f t="shared" si="7"/>
        <v>-27.240930535220443</v>
      </c>
      <c r="H44" s="41">
        <f t="shared" si="3"/>
        <v>0.61162660704304084</v>
      </c>
      <c r="I44" s="73"/>
      <c r="J44" s="73"/>
      <c r="K44" s="73"/>
    </row>
    <row r="45" spans="1:11" ht="16.5" customHeight="1" x14ac:dyDescent="0.25">
      <c r="A45" s="15" t="s">
        <v>286</v>
      </c>
      <c r="B45" s="149">
        <f>[39]ÓLEOS!$G$18</f>
        <v>2.9816666666666669</v>
      </c>
      <c r="C45" s="17">
        <f t="shared" si="0"/>
        <v>73.295640773516894</v>
      </c>
      <c r="D45" s="150">
        <f t="shared" si="1"/>
        <v>0</v>
      </c>
      <c r="E45" s="150">
        <f t="shared" si="8"/>
        <v>1.4172335600907138</v>
      </c>
      <c r="F45" s="152">
        <f t="shared" si="5"/>
        <v>-12.082280258354405</v>
      </c>
      <c r="G45" s="153">
        <f t="shared" si="7"/>
        <v>-27.240930535220443</v>
      </c>
      <c r="H45" s="41">
        <f t="shared" si="3"/>
        <v>0.61162660704304084</v>
      </c>
      <c r="I45" s="73"/>
      <c r="J45" s="73"/>
      <c r="K45" s="73"/>
    </row>
    <row r="46" spans="1:11" ht="16.5" customHeight="1" x14ac:dyDescent="0.25">
      <c r="A46" s="15" t="s">
        <v>287</v>
      </c>
      <c r="B46" s="149">
        <f>[40]ÓLEOS!$G$18</f>
        <v>2.999166666666667</v>
      </c>
      <c r="C46" s="17">
        <f t="shared" si="0"/>
        <v>73.725827597509024</v>
      </c>
      <c r="D46" s="150">
        <f t="shared" si="1"/>
        <v>0.58692006707659061</v>
      </c>
      <c r="E46" s="150">
        <f t="shared" si="8"/>
        <v>2.0124716553288069</v>
      </c>
      <c r="F46" s="152">
        <f t="shared" si="5"/>
        <v>-9.6636546184738936</v>
      </c>
      <c r="G46" s="153">
        <f t="shared" si="7"/>
        <v>-26.813892955913452</v>
      </c>
      <c r="H46" s="41">
        <f t="shared" si="3"/>
        <v>0.60805779383161995</v>
      </c>
      <c r="I46" s="73"/>
      <c r="J46" s="73"/>
      <c r="K46" s="73"/>
    </row>
    <row r="47" spans="1:11" ht="16.5" customHeight="1" x14ac:dyDescent="0.25">
      <c r="A47" s="15" t="s">
        <v>288</v>
      </c>
      <c r="B47" s="149">
        <f>[41]ÓLEOS!$G$18</f>
        <v>3.0158333333333336</v>
      </c>
      <c r="C47" s="17">
        <f t="shared" si="0"/>
        <v>74.135529334644389</v>
      </c>
      <c r="D47" s="150">
        <f t="shared" si="1"/>
        <v>0.55570991942206494</v>
      </c>
      <c r="E47" s="150">
        <f t="shared" si="8"/>
        <v>2.5793650793650924</v>
      </c>
      <c r="F47" s="152">
        <f t="shared" si="5"/>
        <v>-11.074838528503239</v>
      </c>
      <c r="G47" s="153">
        <f t="shared" si="7"/>
        <v>-26.407190499430623</v>
      </c>
      <c r="H47" s="41">
        <f t="shared" si="3"/>
        <v>0.60469743022934519</v>
      </c>
      <c r="I47" s="73"/>
      <c r="J47" s="73"/>
      <c r="K47" s="73"/>
    </row>
    <row r="48" spans="1:11" ht="16.5" customHeight="1" x14ac:dyDescent="0.25">
      <c r="A48" s="15" t="s">
        <v>289</v>
      </c>
      <c r="B48" s="149">
        <f>[42]ÓLEOS!$G$18</f>
        <v>3.0158333333333336</v>
      </c>
      <c r="C48" s="17">
        <f t="shared" si="0"/>
        <v>74.135529334644389</v>
      </c>
      <c r="D48" s="150">
        <f t="shared" si="1"/>
        <v>0</v>
      </c>
      <c r="E48" s="150">
        <f t="shared" si="8"/>
        <v>2.5793650793650924</v>
      </c>
      <c r="F48" s="152">
        <f t="shared" si="5"/>
        <v>-11.074838528503239</v>
      </c>
      <c r="G48" s="153">
        <f t="shared" si="7"/>
        <v>-22.43227023319616</v>
      </c>
      <c r="H48" s="41">
        <f t="shared" si="3"/>
        <v>0.60469743022934519</v>
      </c>
      <c r="I48" s="73"/>
      <c r="J48" s="73"/>
      <c r="K48" s="73"/>
    </row>
    <row r="49" spans="1:11" ht="16.5" customHeight="1" x14ac:dyDescent="0.25">
      <c r="A49" s="15" t="str">
        <f>[72]Diesel_500!A150</f>
        <v>AGOSTO|15</v>
      </c>
      <c r="B49" s="149">
        <f>[43]ÓLEOS!$G$18</f>
        <v>3.0158333333333336</v>
      </c>
      <c r="C49" s="17">
        <f t="shared" si="0"/>
        <v>74.135529334644389</v>
      </c>
      <c r="D49" s="150">
        <f t="shared" si="1"/>
        <v>0</v>
      </c>
      <c r="E49" s="150">
        <f t="shared" si="8"/>
        <v>2.5793650793650924</v>
      </c>
      <c r="F49" s="152">
        <f t="shared" si="5"/>
        <v>2.5793650793650924</v>
      </c>
      <c r="G49" s="153">
        <f t="shared" si="7"/>
        <v>-22.43227023319616</v>
      </c>
      <c r="H49" s="41">
        <f t="shared" si="3"/>
        <v>0.60469743022934519</v>
      </c>
      <c r="I49" s="73"/>
      <c r="J49" s="73"/>
      <c r="K49" s="73"/>
    </row>
    <row r="50" spans="1:11" ht="16.5" customHeight="1" x14ac:dyDescent="0.25">
      <c r="A50" s="15" t="str">
        <f>[72]Diesel_500!A151</f>
        <v>SETEMBRO|15</v>
      </c>
      <c r="B50" s="149">
        <f>[44]ÓLEOS!$G$18</f>
        <v>3.0408333333333335</v>
      </c>
      <c r="C50" s="17">
        <f t="shared" si="0"/>
        <v>74.750081940347442</v>
      </c>
      <c r="D50" s="150">
        <f t="shared" si="1"/>
        <v>0.82895827576678904</v>
      </c>
      <c r="E50" s="150">
        <f t="shared" si="8"/>
        <v>3.4297052154194985</v>
      </c>
      <c r="F50" s="152">
        <f t="shared" si="5"/>
        <v>3.4297052154194985</v>
      </c>
      <c r="G50" s="153">
        <f t="shared" si="7"/>
        <v>-21.78926611796982</v>
      </c>
      <c r="H50" s="41">
        <f t="shared" si="3"/>
        <v>0.59972595231570303</v>
      </c>
      <c r="I50" s="73"/>
      <c r="J50" s="73"/>
      <c r="K50" s="73"/>
    </row>
    <row r="51" spans="1:11" ht="16.5" customHeight="1" x14ac:dyDescent="0.25">
      <c r="A51" s="15" t="str">
        <f>[72]Diesel_500!A152</f>
        <v>OUTUBRO|15</v>
      </c>
      <c r="B51" s="149">
        <f>[45]ÓLEOS!$G$18</f>
        <v>3.0158333333333336</v>
      </c>
      <c r="C51" s="17">
        <f t="shared" si="0"/>
        <v>74.135529334644389</v>
      </c>
      <c r="D51" s="150">
        <f t="shared" si="1"/>
        <v>-0.82214305289119993</v>
      </c>
      <c r="E51" s="150">
        <f t="shared" si="8"/>
        <v>2.5793650793650924</v>
      </c>
      <c r="F51" s="152">
        <f t="shared" si="5"/>
        <v>2.5793650793650924</v>
      </c>
      <c r="G51" s="153">
        <f t="shared" si="7"/>
        <v>-22.43227023319616</v>
      </c>
      <c r="H51" s="41">
        <f t="shared" si="3"/>
        <v>0.60469743022934519</v>
      </c>
      <c r="I51" s="73"/>
      <c r="J51" s="73"/>
      <c r="K51" s="73"/>
    </row>
    <row r="52" spans="1:11" ht="16.5" customHeight="1" x14ac:dyDescent="0.25">
      <c r="A52" s="15" t="str">
        <f>[72]Diesel_500!A153</f>
        <v>NOVEMBRO|15</v>
      </c>
      <c r="B52" s="149">
        <f>[46]ÓLEOS!$G$18</f>
        <v>3.0158333333333336</v>
      </c>
      <c r="C52" s="17">
        <f t="shared" si="0"/>
        <v>74.135529334644389</v>
      </c>
      <c r="D52" s="150">
        <f t="shared" ref="D52:D57" si="9">100*(B52/B51-1)</f>
        <v>0</v>
      </c>
      <c r="E52" s="150">
        <f t="shared" si="8"/>
        <v>2.5793650793650924</v>
      </c>
      <c r="F52" s="152">
        <f t="shared" ref="F52:F57" si="10">(100*(B52/B40-1))</f>
        <v>2.5793650793650924</v>
      </c>
      <c r="G52" s="153">
        <f t="shared" si="7"/>
        <v>-22.43227023319616</v>
      </c>
      <c r="H52" s="41">
        <f t="shared" si="3"/>
        <v>0.60469743022934519</v>
      </c>
      <c r="I52" s="73"/>
      <c r="J52" s="73"/>
      <c r="K52" s="73"/>
    </row>
    <row r="53" spans="1:11" ht="16.5" customHeight="1" x14ac:dyDescent="0.25">
      <c r="A53" s="15" t="str">
        <f>[72]Diesel_500!A154</f>
        <v>DEZEMBRO|15</v>
      </c>
      <c r="B53" s="149">
        <f>[47]ÓLEOS!$G$18</f>
        <v>3.0741666666666667</v>
      </c>
      <c r="C53" s="17">
        <f t="shared" si="0"/>
        <v>75.569485414618171</v>
      </c>
      <c r="D53" s="150">
        <f t="shared" si="9"/>
        <v>1.934235976789167</v>
      </c>
      <c r="E53" s="150">
        <f t="shared" si="8"/>
        <v>4.5634920634920695</v>
      </c>
      <c r="F53" s="152">
        <f t="shared" si="10"/>
        <v>4.5634920634920695</v>
      </c>
      <c r="G53" s="153">
        <f t="shared" si="7"/>
        <v>-20.93192729766804</v>
      </c>
      <c r="H53" s="41">
        <f t="shared" si="3"/>
        <v>0.59322309568988896</v>
      </c>
      <c r="I53" s="73"/>
      <c r="J53" s="73"/>
      <c r="K53" s="73"/>
    </row>
    <row r="54" spans="1:11" ht="16.5" customHeight="1" x14ac:dyDescent="0.25">
      <c r="A54" s="15" t="str">
        <f>[72]Diesel_500!A155</f>
        <v>JANEIRO|16</v>
      </c>
      <c r="B54" s="149">
        <f>[48]ÓLEOS!$G$18</f>
        <v>2.9408333333333334</v>
      </c>
      <c r="C54" s="17">
        <f t="shared" si="0"/>
        <v>72.291871517535242</v>
      </c>
      <c r="D54" s="150">
        <f t="shared" si="9"/>
        <v>-4.3372187584711286</v>
      </c>
      <c r="E54" s="150">
        <f>100*((B54/$B$53)-1)</f>
        <v>-4.3372187584711286</v>
      </c>
      <c r="F54" s="152">
        <f t="shared" si="10"/>
        <v>0</v>
      </c>
      <c r="G54" s="153">
        <f t="shared" si="7"/>
        <v>-27.547836084421441</v>
      </c>
      <c r="H54" s="41">
        <f t="shared" si="3"/>
        <v>0.62011901388495339</v>
      </c>
      <c r="I54" s="73"/>
      <c r="J54" s="73"/>
      <c r="K54" s="73"/>
    </row>
    <row r="55" spans="1:11" ht="16.5" customHeight="1" x14ac:dyDescent="0.25">
      <c r="A55" s="15" t="str">
        <f>[72]Diesel_500!A156</f>
        <v>FEVEREIRO|16</v>
      </c>
      <c r="B55" s="149">
        <f>[49]ÓLEOS!$G$18</f>
        <v>2.5245000000000002</v>
      </c>
      <c r="C55" s="17">
        <f>100*B55/B$8</f>
        <v>62.057522123893818</v>
      </c>
      <c r="D55" s="150">
        <f t="shared" si="9"/>
        <v>-14.156984981581179</v>
      </c>
      <c r="E55" s="150">
        <f>100*((B55/$B$53)-1)</f>
        <v>-17.880184331797231</v>
      </c>
      <c r="F55" s="152">
        <f t="shared" si="10"/>
        <v>-17.432542927228113</v>
      </c>
      <c r="G55" s="153">
        <f t="shared" si="7"/>
        <v>-37.804878048780481</v>
      </c>
      <c r="H55" s="41">
        <f t="shared" si="3"/>
        <v>0.72238727140687931</v>
      </c>
      <c r="I55" s="73"/>
      <c r="J55" s="73"/>
      <c r="K55" s="73"/>
    </row>
    <row r="56" spans="1:11" ht="16.5" customHeight="1" x14ac:dyDescent="0.25">
      <c r="A56" s="15" t="str">
        <f>[72]Diesel_500!A157</f>
        <v>MARÇO|16</v>
      </c>
      <c r="B56" s="149">
        <f>[50]ÓLEOS!$G$18</f>
        <v>2.5245000000000002</v>
      </c>
      <c r="C56" s="17">
        <f>100*B56/B$8</f>
        <v>62.057522123893818</v>
      </c>
      <c r="D56" s="150">
        <f t="shared" si="9"/>
        <v>0</v>
      </c>
      <c r="E56" s="150">
        <f>100*((B56/$B$53)-1)</f>
        <v>-17.880184331797231</v>
      </c>
      <c r="F56" s="152">
        <f t="shared" si="10"/>
        <v>-15.332588038010064</v>
      </c>
      <c r="G56" s="153">
        <f>100*(B56/B32-1)</f>
        <v>-25.562342038753162</v>
      </c>
      <c r="H56" s="41">
        <f t="shared" si="3"/>
        <v>0.72238727140687931</v>
      </c>
      <c r="I56" s="73"/>
      <c r="J56" s="73"/>
      <c r="K56" s="73"/>
    </row>
    <row r="57" spans="1:11" ht="16.5" customHeight="1" x14ac:dyDescent="0.25">
      <c r="A57" s="15" t="str">
        <f>[72]Diesel_500!A158</f>
        <v>ABRIL|16</v>
      </c>
      <c r="B57" s="149">
        <f>[51]ÓLEOS!$G$18</f>
        <v>2.5245000000000002</v>
      </c>
      <c r="C57" s="17">
        <f>100*B57/B$8</f>
        <v>62.057522123893818</v>
      </c>
      <c r="D57" s="150">
        <f t="shared" si="9"/>
        <v>0</v>
      </c>
      <c r="E57" s="150">
        <f>100*((B57/$B$53)-1)</f>
        <v>-17.880184331797231</v>
      </c>
      <c r="F57" s="152">
        <f t="shared" si="10"/>
        <v>-15.332588038010064</v>
      </c>
      <c r="G57" s="153">
        <f>100*(B57/B33-1)</f>
        <v>-25.562342038753162</v>
      </c>
      <c r="H57" s="41">
        <f t="shared" si="3"/>
        <v>0.72238727140687931</v>
      </c>
      <c r="I57" s="73"/>
      <c r="J57" s="73"/>
      <c r="K57" s="73"/>
    </row>
    <row r="58" spans="1:11" ht="16.5" customHeight="1" x14ac:dyDescent="0.25">
      <c r="A58" s="15" t="str">
        <f>[73]Diesel_500!A159</f>
        <v>MAIO|16</v>
      </c>
      <c r="B58" s="149">
        <f>[52]ÓLEOS!$G$18</f>
        <v>2.5245000000000002</v>
      </c>
      <c r="C58" s="17">
        <f t="shared" ref="C58:C66" si="11">100*B58/B$8</f>
        <v>62.057522123893818</v>
      </c>
      <c r="D58" s="150">
        <f t="shared" ref="D58:D66" si="12">100*(B58/B57-1)</f>
        <v>0</v>
      </c>
      <c r="E58" s="150">
        <f t="shared" ref="E58:E65" si="13">100*((B58/$B$53)-1)</f>
        <v>-17.880184331797231</v>
      </c>
      <c r="F58" s="152">
        <f t="shared" ref="F58:F66" si="14">(100*(B58/B46-1))</f>
        <v>-15.826618505140322</v>
      </c>
      <c r="G58" s="153">
        <f t="shared" ref="G58:G66" si="15">100*(B58/B34-1)</f>
        <v>-23.960843373493979</v>
      </c>
      <c r="H58" s="41">
        <f t="shared" si="3"/>
        <v>0.72238727140687931</v>
      </c>
      <c r="I58" s="73"/>
      <c r="J58" s="73"/>
      <c r="K58" s="73"/>
    </row>
    <row r="59" spans="1:11" ht="16.5" customHeight="1" x14ac:dyDescent="0.25">
      <c r="A59" s="15" t="str">
        <f>[73]Diesel_500!A160</f>
        <v>JUNHO|16</v>
      </c>
      <c r="B59" s="149">
        <f>[53]ÓLEOS!$G$18</f>
        <v>2.4578333333333338</v>
      </c>
      <c r="C59" s="17">
        <f t="shared" si="11"/>
        <v>60.418715175352361</v>
      </c>
      <c r="D59" s="150">
        <f t="shared" si="12"/>
        <v>-2.6407869545124307</v>
      </c>
      <c r="E59" s="150">
        <f t="shared" si="13"/>
        <v>-20.048793711032786</v>
      </c>
      <c r="F59" s="152">
        <f t="shared" si="14"/>
        <v>-18.502348715114671</v>
      </c>
      <c r="G59" s="153">
        <f t="shared" si="15"/>
        <v>-27.52808199943836</v>
      </c>
      <c r="H59" s="41">
        <f t="shared" si="3"/>
        <v>0.74198141994982025</v>
      </c>
      <c r="I59" s="73"/>
      <c r="J59" s="73"/>
      <c r="K59" s="73"/>
    </row>
    <row r="60" spans="1:11" ht="16.5" customHeight="1" x14ac:dyDescent="0.25">
      <c r="A60" s="15" t="str">
        <f>[73]Diesel_500!A161</f>
        <v>JULHO|16</v>
      </c>
      <c r="B60" s="149">
        <f>[54]ÓLEOS!$G$18</f>
        <v>2.4578333333333338</v>
      </c>
      <c r="C60" s="17">
        <f t="shared" si="11"/>
        <v>60.418715175352361</v>
      </c>
      <c r="D60" s="150">
        <f t="shared" si="12"/>
        <v>0</v>
      </c>
      <c r="E60" s="150">
        <f t="shared" si="13"/>
        <v>-20.048793711032786</v>
      </c>
      <c r="F60" s="152">
        <f t="shared" si="14"/>
        <v>-18.502348715114671</v>
      </c>
      <c r="G60" s="153">
        <f t="shared" si="15"/>
        <v>-27.52808199943836</v>
      </c>
      <c r="H60" s="41">
        <f t="shared" si="3"/>
        <v>0.74198141994982025</v>
      </c>
      <c r="I60" s="73"/>
      <c r="J60" s="73"/>
      <c r="K60" s="73"/>
    </row>
    <row r="61" spans="1:11" ht="16.5" customHeight="1" x14ac:dyDescent="0.25">
      <c r="A61" s="15" t="str">
        <f>[73]Diesel_500!A162</f>
        <v>AGOSTO|16</v>
      </c>
      <c r="B61" s="149">
        <f>[55]ÓLEOS!$G$18</f>
        <v>2.4578333333333338</v>
      </c>
      <c r="C61" s="17">
        <f t="shared" si="11"/>
        <v>60.418715175352361</v>
      </c>
      <c r="D61" s="150">
        <f t="shared" si="12"/>
        <v>0</v>
      </c>
      <c r="E61" s="150">
        <f t="shared" si="13"/>
        <v>-20.048793711032786</v>
      </c>
      <c r="F61" s="152">
        <f t="shared" si="14"/>
        <v>-18.502348715114671</v>
      </c>
      <c r="G61" s="153">
        <f t="shared" si="15"/>
        <v>-16.400226757369595</v>
      </c>
      <c r="H61" s="41">
        <f t="shared" si="3"/>
        <v>0.74198141994982025</v>
      </c>
      <c r="I61" s="73"/>
      <c r="J61" s="73"/>
      <c r="K61" s="73"/>
    </row>
    <row r="62" spans="1:11" ht="16.5" customHeight="1" x14ac:dyDescent="0.25">
      <c r="A62" s="15" t="str">
        <f>[73]Diesel_500!A163</f>
        <v>SETEMBRO|16</v>
      </c>
      <c r="B62" s="149">
        <f>[56]ÓLEOS!$G$18</f>
        <v>2.4578333333333338</v>
      </c>
      <c r="C62" s="17">
        <f t="shared" si="11"/>
        <v>60.418715175352361</v>
      </c>
      <c r="D62" s="150">
        <f t="shared" si="12"/>
        <v>0</v>
      </c>
      <c r="E62" s="150">
        <f t="shared" si="13"/>
        <v>-20.048793711032786</v>
      </c>
      <c r="F62" s="152">
        <f t="shared" si="14"/>
        <v>-19.17237599342284</v>
      </c>
      <c r="G62" s="153">
        <f t="shared" si="15"/>
        <v>-16.400226757369595</v>
      </c>
      <c r="H62" s="41">
        <f t="shared" si="3"/>
        <v>0.74198141994982025</v>
      </c>
      <c r="I62" s="73"/>
      <c r="J62" s="73"/>
      <c r="K62" s="73"/>
    </row>
    <row r="63" spans="1:11" ht="16.5" customHeight="1" x14ac:dyDescent="0.25">
      <c r="A63" s="15" t="str">
        <f>[73]Diesel_500!A164</f>
        <v>OUTUBRO|16</v>
      </c>
      <c r="B63" s="149">
        <f>[57]ÓLEOS!$G$18</f>
        <v>2.4578333333333338</v>
      </c>
      <c r="C63" s="17">
        <f t="shared" si="11"/>
        <v>60.418715175352361</v>
      </c>
      <c r="D63" s="150">
        <f t="shared" si="12"/>
        <v>0</v>
      </c>
      <c r="E63" s="150">
        <f t="shared" si="13"/>
        <v>-20.048793711032786</v>
      </c>
      <c r="F63" s="152">
        <f t="shared" si="14"/>
        <v>-18.502348715114671</v>
      </c>
      <c r="G63" s="153">
        <f t="shared" si="15"/>
        <v>-16.400226757369595</v>
      </c>
      <c r="H63" s="41">
        <f t="shared" si="3"/>
        <v>0.74198141994982025</v>
      </c>
      <c r="I63" s="73"/>
      <c r="J63" s="73"/>
      <c r="K63" s="73"/>
    </row>
    <row r="64" spans="1:11" ht="16.5" customHeight="1" x14ac:dyDescent="0.25">
      <c r="A64" s="15" t="str">
        <f>[73]Diesel_500!A165</f>
        <v>NOVEMBRO|16</v>
      </c>
      <c r="B64" s="149">
        <f>[58]ÓLEOS!$G$18</f>
        <v>2.3911666666666673</v>
      </c>
      <c r="C64" s="17">
        <f t="shared" si="11"/>
        <v>58.779908226810903</v>
      </c>
      <c r="D64" s="150">
        <f t="shared" si="12"/>
        <v>-2.7124160846273671</v>
      </c>
      <c r="E64" s="150">
        <f t="shared" si="13"/>
        <v>-22.217403090268352</v>
      </c>
      <c r="F64" s="152">
        <f t="shared" si="14"/>
        <v>-20.712904117159425</v>
      </c>
      <c r="G64" s="153">
        <f t="shared" si="15"/>
        <v>-18.667800453514715</v>
      </c>
      <c r="H64" s="41">
        <f t="shared" si="3"/>
        <v>0.76266815362096596</v>
      </c>
      <c r="I64" s="73"/>
      <c r="J64" s="73"/>
      <c r="K64" s="73"/>
    </row>
    <row r="65" spans="1:11" ht="16.5" customHeight="1" x14ac:dyDescent="0.25">
      <c r="A65" s="15" t="str">
        <f>[73]Diesel_500!A166</f>
        <v>DEZEMBRO|16</v>
      </c>
      <c r="B65" s="149">
        <f>[59]ÓLEOS!$G$18</f>
        <v>2.3911666666666673</v>
      </c>
      <c r="C65" s="17">
        <f t="shared" si="11"/>
        <v>58.779908226810903</v>
      </c>
      <c r="D65" s="150">
        <f t="shared" si="12"/>
        <v>0</v>
      </c>
      <c r="E65" s="150">
        <f t="shared" si="13"/>
        <v>-22.217403090268352</v>
      </c>
      <c r="F65" s="152">
        <f t="shared" si="14"/>
        <v>-22.217403090268352</v>
      </c>
      <c r="G65" s="153">
        <f t="shared" si="15"/>
        <v>-18.667800453514715</v>
      </c>
      <c r="H65" s="41">
        <f t="shared" si="3"/>
        <v>0.76266815362096596</v>
      </c>
      <c r="I65" s="73"/>
      <c r="J65" s="73"/>
      <c r="K65" s="73"/>
    </row>
    <row r="66" spans="1:11" ht="16.5" customHeight="1" x14ac:dyDescent="0.25">
      <c r="A66" s="15" t="str">
        <f>[73]Diesel_500!A167</f>
        <v>JANEIRO|17</v>
      </c>
      <c r="B66" s="149">
        <f>[60]ÓLEOS!$G$18</f>
        <v>2.3911666666666673</v>
      </c>
      <c r="C66" s="17">
        <f t="shared" si="11"/>
        <v>58.779908226810903</v>
      </c>
      <c r="D66" s="150">
        <f t="shared" si="12"/>
        <v>0</v>
      </c>
      <c r="E66" s="150">
        <f>100*((B66/$B$65)-1)</f>
        <v>0</v>
      </c>
      <c r="F66" s="152">
        <f t="shared" si="14"/>
        <v>-18.690847265514286</v>
      </c>
      <c r="G66" s="153">
        <f t="shared" si="15"/>
        <v>-18.690847265514286</v>
      </c>
      <c r="H66" s="41">
        <f t="shared" si="3"/>
        <v>0.76266815362096596</v>
      </c>
      <c r="I66" s="73"/>
      <c r="J66" s="73"/>
      <c r="K66" s="73"/>
    </row>
    <row r="67" spans="1:11" ht="16.5" customHeight="1" x14ac:dyDescent="0.25">
      <c r="A67" s="15" t="str">
        <f>[73]Diesel_500!A168</f>
        <v>FEVEREIRO|17</v>
      </c>
      <c r="B67" s="149">
        <f>[61]ÓLEOS!$G$18</f>
        <v>2.3911666666666673</v>
      </c>
      <c r="C67" s="17">
        <f t="shared" ref="C67" si="16">100*B67/B$8</f>
        <v>58.779908226810903</v>
      </c>
      <c r="D67" s="150">
        <f t="shared" ref="D67" si="17">100*(B67/B66-1)</f>
        <v>0</v>
      </c>
      <c r="E67" s="150">
        <f>100*((B67/$B$65)-1)</f>
        <v>0</v>
      </c>
      <c r="F67" s="152">
        <f t="shared" ref="F67" si="18">(100*(B67/B55-1))</f>
        <v>-5.281573909024873</v>
      </c>
      <c r="G67" s="153">
        <f t="shared" ref="G67" si="19">100*(B67/B43-1)</f>
        <v>-21.793404197328947</v>
      </c>
      <c r="H67" s="41">
        <f t="shared" si="3"/>
        <v>0.76266815362096596</v>
      </c>
      <c r="I67" s="73"/>
      <c r="J67" s="73"/>
      <c r="K67" s="73"/>
    </row>
    <row r="68" spans="1:11" ht="16.5" customHeight="1" x14ac:dyDescent="0.25">
      <c r="A68" s="15" t="str">
        <f>[73]Diesel_500!A169</f>
        <v>MARÇO|17</v>
      </c>
      <c r="B68" s="149">
        <f>[62]ÓLEOS!$G$18</f>
        <v>2.3911666666666673</v>
      </c>
      <c r="C68" s="17">
        <f t="shared" ref="C68:C69" si="20">100*B68/B$8</f>
        <v>58.779908226810903</v>
      </c>
      <c r="D68" s="150">
        <f t="shared" ref="D68:D69" si="21">100*(B68/B67-1)</f>
        <v>0</v>
      </c>
      <c r="E68" s="150">
        <f t="shared" ref="E68:E69" si="22">100*((B68/$B$65)-1)</f>
        <v>0</v>
      </c>
      <c r="F68" s="152">
        <f t="shared" ref="F68:F69" si="23">(100*(B68/B56-1))</f>
        <v>-5.281573909024873</v>
      </c>
      <c r="G68" s="153">
        <f t="shared" ref="G68:G69" si="24">100*(B68/B44-1)</f>
        <v>-19.804359977641127</v>
      </c>
      <c r="H68" s="41">
        <f t="shared" si="3"/>
        <v>0.76266815362096596</v>
      </c>
      <c r="I68" s="73"/>
      <c r="J68" s="73"/>
      <c r="K68" s="73"/>
    </row>
    <row r="69" spans="1:11" ht="16.5" customHeight="1" x14ac:dyDescent="0.25">
      <c r="A69" s="15" t="str">
        <f>[73]Diesel_500!A170</f>
        <v>ABRIL|17</v>
      </c>
      <c r="B69" s="149">
        <f>[63]ÓLEOS!$G$18</f>
        <v>2.3911666666666673</v>
      </c>
      <c r="C69" s="17">
        <f t="shared" si="20"/>
        <v>58.779908226810903</v>
      </c>
      <c r="D69" s="150">
        <f t="shared" si="21"/>
        <v>0</v>
      </c>
      <c r="E69" s="150">
        <f t="shared" si="22"/>
        <v>0</v>
      </c>
      <c r="F69" s="152">
        <f t="shared" si="23"/>
        <v>-5.281573909024873</v>
      </c>
      <c r="G69" s="153">
        <f t="shared" si="24"/>
        <v>-19.804359977641127</v>
      </c>
      <c r="H69" s="41">
        <f t="shared" si="3"/>
        <v>0.76266815362096596</v>
      </c>
      <c r="I69" s="73"/>
      <c r="J69" s="73"/>
      <c r="K69" s="73"/>
    </row>
    <row r="70" spans="1:11" ht="16.5" customHeight="1" x14ac:dyDescent="0.25">
      <c r="A70" s="15" t="str">
        <f>[73]Diesel_500!A171</f>
        <v>MAIO|17</v>
      </c>
      <c r="B70" s="149">
        <f>[64]ÓLEOS!$G$18</f>
        <v>2.3911666666666673</v>
      </c>
      <c r="C70" s="17">
        <f t="shared" ref="C70:C71" si="25">100*B70/B$8</f>
        <v>58.779908226810903</v>
      </c>
      <c r="D70" s="150">
        <f t="shared" ref="D70:D71" si="26">100*(B70/B69-1)</f>
        <v>0</v>
      </c>
      <c r="E70" s="150">
        <f t="shared" ref="E70:E71" si="27">100*((B70/$B$65)-1)</f>
        <v>0</v>
      </c>
      <c r="F70" s="152">
        <f t="shared" ref="F70:F71" si="28">(100*(B70/B58-1))</f>
        <v>-5.281573909024873</v>
      </c>
      <c r="G70" s="153">
        <f t="shared" ref="G70:G71" si="29">100*(B70/B46-1)</f>
        <v>-20.272297860516797</v>
      </c>
      <c r="H70" s="41">
        <f t="shared" si="3"/>
        <v>0.76266815362096596</v>
      </c>
      <c r="I70" s="73"/>
      <c r="J70" s="73"/>
      <c r="K70" s="73"/>
    </row>
    <row r="71" spans="1:11" ht="16.5" customHeight="1" x14ac:dyDescent="0.25">
      <c r="A71" s="15" t="str">
        <f>[73]Diesel_500!A172</f>
        <v>JUNHO|17</v>
      </c>
      <c r="B71" s="149">
        <f>[65]ÓLEOS!$G$18</f>
        <v>2.3911666666666673</v>
      </c>
      <c r="C71" s="17">
        <f t="shared" si="25"/>
        <v>58.779908226810903</v>
      </c>
      <c r="D71" s="150">
        <f t="shared" si="26"/>
        <v>0</v>
      </c>
      <c r="E71" s="150">
        <f t="shared" si="27"/>
        <v>0</v>
      </c>
      <c r="F71" s="152">
        <f t="shared" si="28"/>
        <v>-2.7124160846273671</v>
      </c>
      <c r="G71" s="153">
        <f t="shared" si="29"/>
        <v>-20.712904117159425</v>
      </c>
      <c r="H71" s="41">
        <f t="shared" si="3"/>
        <v>0.76266815362096596</v>
      </c>
      <c r="I71" s="73"/>
      <c r="J71" s="73"/>
      <c r="K71" s="73"/>
    </row>
    <row r="72" spans="1:11" ht="16.5" customHeight="1" x14ac:dyDescent="0.25">
      <c r="A72" s="15" t="str">
        <f>Diesel_S10!A72</f>
        <v>JULHO|17</v>
      </c>
      <c r="B72" s="149">
        <f>[66]ÓLEOS!$G$18</f>
        <v>2.3911666666666673</v>
      </c>
      <c r="C72" s="17">
        <f t="shared" ref="C72" si="30">100*B72/B$8</f>
        <v>58.779908226810903</v>
      </c>
      <c r="D72" s="150">
        <f t="shared" ref="D72" si="31">100*(B72/B71-1)</f>
        <v>0</v>
      </c>
      <c r="E72" s="150">
        <f t="shared" ref="E72" si="32">100*((B72/$B$65)-1)</f>
        <v>0</v>
      </c>
      <c r="F72" s="152">
        <f t="shared" ref="F72" si="33">(100*(B72/B60-1))</f>
        <v>-2.7124160846273671</v>
      </c>
      <c r="G72" s="153">
        <f t="shared" ref="G72" si="34">100*(B72/B48-1)</f>
        <v>-20.712904117159425</v>
      </c>
      <c r="H72" s="41">
        <f t="shared" si="3"/>
        <v>0.76266815362096596</v>
      </c>
      <c r="I72" s="73"/>
      <c r="J72" s="73"/>
      <c r="K72" s="73"/>
    </row>
    <row r="73" spans="1:11" ht="16.5" customHeight="1" x14ac:dyDescent="0.25">
      <c r="A73" s="15" t="str">
        <f>Diesel_S10!A73</f>
        <v>AGOSTO|17</v>
      </c>
      <c r="B73" s="149">
        <f>[67]ÓLEOS!$G$18</f>
        <v>2.3911666666666673</v>
      </c>
      <c r="C73" s="17">
        <f t="shared" ref="C73" si="35">100*B73/B$8</f>
        <v>58.779908226810903</v>
      </c>
      <c r="D73" s="150">
        <f t="shared" ref="D73" si="36">100*(B73/B72-1)</f>
        <v>0</v>
      </c>
      <c r="E73" s="150">
        <f t="shared" ref="E73" si="37">100*((B73/$B$65)-1)</f>
        <v>0</v>
      </c>
      <c r="F73" s="152">
        <f t="shared" ref="F73" si="38">(100*(B73/B61-1))</f>
        <v>-2.7124160846273671</v>
      </c>
      <c r="G73" s="153">
        <f t="shared" ref="G73" si="39">100*(B73/B49-1)</f>
        <v>-20.712904117159425</v>
      </c>
      <c r="H73" s="41">
        <f t="shared" si="3"/>
        <v>0.76266815362096596</v>
      </c>
      <c r="I73" s="73"/>
      <c r="J73" s="73"/>
      <c r="K73" s="73"/>
    </row>
    <row r="74" spans="1:11" ht="16.5" customHeight="1" x14ac:dyDescent="0.25">
      <c r="A74" s="15" t="str">
        <f>Diesel_S10!A74</f>
        <v>SETEMBRO|17</v>
      </c>
      <c r="B74" s="149">
        <f>[68]ÓLEOS!$G$18</f>
        <v>2.3911666666666673</v>
      </c>
      <c r="C74" s="17">
        <f t="shared" ref="C74" si="40">100*B74/B$8</f>
        <v>58.779908226810903</v>
      </c>
      <c r="D74" s="150">
        <f t="shared" ref="D74" si="41">100*(B74/B73-1)</f>
        <v>0</v>
      </c>
      <c r="E74" s="150">
        <f t="shared" ref="E74" si="42">100*((B74/$B$65)-1)</f>
        <v>0</v>
      </c>
      <c r="F74" s="152">
        <f t="shared" ref="F74" si="43">(100*(B74/B62-1))</f>
        <v>-2.7124160846273671</v>
      </c>
      <c r="G74" s="153">
        <f t="shared" ref="G74" si="44">100*(B74/B50-1)</f>
        <v>-21.364757467799379</v>
      </c>
      <c r="H74" s="41">
        <f t="shared" si="3"/>
        <v>0.76266815362096596</v>
      </c>
      <c r="I74" s="73"/>
      <c r="J74" s="73"/>
      <c r="K74" s="73"/>
    </row>
    <row r="75" spans="1:11" ht="16.5" customHeight="1" x14ac:dyDescent="0.25">
      <c r="A75" s="15" t="str">
        <f>Diesel_S10!A75</f>
        <v>OUTUBRO|17</v>
      </c>
      <c r="B75" s="149">
        <f>[69]ÓLEOS!$G$18</f>
        <v>2.3911666666666673</v>
      </c>
      <c r="C75" s="17">
        <f t="shared" ref="C75" si="45">100*B75/B$8</f>
        <v>58.779908226810903</v>
      </c>
      <c r="D75" s="150">
        <f t="shared" ref="D75" si="46">100*(B75/B74-1)</f>
        <v>0</v>
      </c>
      <c r="E75" s="150">
        <f t="shared" ref="E75" si="47">100*((B75/$B$65)-1)</f>
        <v>0</v>
      </c>
      <c r="F75" s="152">
        <f t="shared" ref="F75" si="48">(100*(B75/B63-1))</f>
        <v>-2.7124160846273671</v>
      </c>
      <c r="G75" s="153">
        <f t="shared" ref="G75" si="49">100*(B75/B51-1)</f>
        <v>-20.712904117159425</v>
      </c>
      <c r="H75" s="41">
        <f t="shared" ref="H75:H81" si="50">$B$81/B75</f>
        <v>0.76266815362096596</v>
      </c>
      <c r="I75" s="73"/>
      <c r="J75" s="73"/>
      <c r="K75" s="73"/>
    </row>
    <row r="76" spans="1:11" ht="16.5" customHeight="1" x14ac:dyDescent="0.25">
      <c r="A76" s="15" t="str">
        <f>Diesel_S10!A76</f>
        <v>NOVEMBRO|17</v>
      </c>
      <c r="B76" s="149">
        <f>[74]ÓLEOS!$G$18</f>
        <v>1.823666666666667</v>
      </c>
      <c r="C76" s="17">
        <f t="shared" ref="C76" si="51">100*B76/B$8</f>
        <v>44.829564077351698</v>
      </c>
      <c r="D76" s="150">
        <f t="shared" ref="D76" si="52">100*(B76/B75-1)</f>
        <v>-23.733184637903403</v>
      </c>
      <c r="E76" s="150">
        <f t="shared" ref="E76" si="53">100*((B76/$B$65)-1)</f>
        <v>-23.733184637903403</v>
      </c>
      <c r="F76" s="152">
        <f t="shared" ref="F76" si="54">(100*(B76/B64-1))</f>
        <v>-23.733184637903403</v>
      </c>
      <c r="G76" s="153">
        <f t="shared" ref="G76" si="55">100*(B76/B52-1)</f>
        <v>-39.530256977065484</v>
      </c>
      <c r="H76" s="41">
        <f t="shared" si="50"/>
        <v>1</v>
      </c>
      <c r="I76" s="73"/>
      <c r="J76" s="73"/>
      <c r="K76" s="73"/>
    </row>
    <row r="77" spans="1:11" ht="16.5" customHeight="1" x14ac:dyDescent="0.25">
      <c r="A77" s="15" t="str">
        <f>Diesel_S10!A77</f>
        <v>DEZEMBRO|17</v>
      </c>
      <c r="B77" s="149">
        <f>[75]ÓLEOS!$G$18</f>
        <v>1.823666666666667</v>
      </c>
      <c r="C77" s="17">
        <f t="shared" ref="C77:C78" si="56">100*B77/B$8</f>
        <v>44.829564077351698</v>
      </c>
      <c r="D77" s="150">
        <f t="shared" ref="D77:D78" si="57">100*(B77/B76-1)</f>
        <v>0</v>
      </c>
      <c r="E77" s="150">
        <f t="shared" ref="E77:E78" si="58">100*((B77/$B$65)-1)</f>
        <v>-23.733184637903403</v>
      </c>
      <c r="F77" s="152">
        <f t="shared" ref="F77:F78" si="59">(100*(B77/B65-1))</f>
        <v>-23.733184637903403</v>
      </c>
      <c r="G77" s="153">
        <f t="shared" ref="G77:G78" si="60">100*(B77/B53-1)</f>
        <v>-40.677690431011101</v>
      </c>
      <c r="H77" s="41">
        <f t="shared" si="50"/>
        <v>1</v>
      </c>
      <c r="I77" s="73"/>
      <c r="J77" s="73"/>
      <c r="K77" s="73"/>
    </row>
    <row r="78" spans="1:11" ht="16.5" customHeight="1" x14ac:dyDescent="0.25">
      <c r="A78" s="15" t="str">
        <f>Diesel_S10!A78</f>
        <v>JANEIRO|18</v>
      </c>
      <c r="B78" s="149">
        <f>'[71]jan-18'!$D$9</f>
        <v>1.823666666666667</v>
      </c>
      <c r="C78" s="17">
        <f t="shared" si="56"/>
        <v>44.829564077351698</v>
      </c>
      <c r="D78" s="150">
        <f t="shared" si="57"/>
        <v>0</v>
      </c>
      <c r="E78" s="150">
        <f t="shared" si="58"/>
        <v>-23.733184637903403</v>
      </c>
      <c r="F78" s="152">
        <f t="shared" si="59"/>
        <v>-23.733184637903403</v>
      </c>
      <c r="G78" s="153">
        <f t="shared" si="60"/>
        <v>-37.988098611504661</v>
      </c>
      <c r="H78" s="41">
        <f t="shared" si="50"/>
        <v>1</v>
      </c>
      <c r="I78" s="73"/>
      <c r="J78" s="73"/>
      <c r="K78" s="73"/>
    </row>
    <row r="79" spans="1:11" ht="16.5" customHeight="1" x14ac:dyDescent="0.25">
      <c r="A79" s="15" t="str">
        <f>Diesel_S10!A79</f>
        <v>FEVEREIRO|18</v>
      </c>
      <c r="B79" s="149">
        <f>'[71]fev-18'!$D$9</f>
        <v>1.823666666666667</v>
      </c>
      <c r="C79" s="17">
        <f t="shared" ref="C79:C80" si="61">100*B79/B$8</f>
        <v>44.829564077351698</v>
      </c>
      <c r="D79" s="150">
        <f t="shared" ref="D79:D80" si="62">100*(B79/B78-1)</f>
        <v>0</v>
      </c>
      <c r="E79" s="150">
        <f t="shared" ref="E79:E80" si="63">100*((B79/$B$65)-1)</f>
        <v>-23.733184637903403</v>
      </c>
      <c r="F79" s="152">
        <f t="shared" ref="F79:F80" si="64">(100*(B79/B67-1))</f>
        <v>-23.733184637903403</v>
      </c>
      <c r="G79" s="153">
        <f t="shared" ref="G79:G80" si="65">100*(B79/B55-1)</f>
        <v>-27.761272859312069</v>
      </c>
      <c r="H79" s="41">
        <f t="shared" si="50"/>
        <v>1</v>
      </c>
      <c r="I79" s="73"/>
      <c r="J79" s="73"/>
      <c r="K79" s="73"/>
    </row>
    <row r="80" spans="1:11" ht="16.5" customHeight="1" x14ac:dyDescent="0.25">
      <c r="A80" s="179" t="str">
        <f>Diesel_S10!A80</f>
        <v>MARÇO|18</v>
      </c>
      <c r="B80" s="184">
        <f>'[71]fev-18'!$D$9</f>
        <v>1.823666666666667</v>
      </c>
      <c r="C80" s="22">
        <f t="shared" si="61"/>
        <v>44.829564077351698</v>
      </c>
      <c r="D80" s="185">
        <f t="shared" si="62"/>
        <v>0</v>
      </c>
      <c r="E80" s="185">
        <f t="shared" si="63"/>
        <v>-23.733184637903403</v>
      </c>
      <c r="F80" s="186">
        <f t="shared" si="64"/>
        <v>-23.733184637903403</v>
      </c>
      <c r="G80" s="187">
        <f t="shared" si="65"/>
        <v>-27.761272859312069</v>
      </c>
      <c r="H80" s="183">
        <f t="shared" si="50"/>
        <v>1</v>
      </c>
      <c r="I80" s="73"/>
      <c r="J80" s="73"/>
      <c r="K80" s="73"/>
    </row>
    <row r="81" spans="1:12" ht="16.5" customHeight="1" thickBot="1" x14ac:dyDescent="0.3">
      <c r="A81" s="144" t="str">
        <f>Diesel_S10!A81</f>
        <v>ABRIL|18</v>
      </c>
      <c r="B81" s="154">
        <v>1.823666666666667</v>
      </c>
      <c r="C81" s="134">
        <f t="shared" ref="C81" si="66">100*B81/B$8</f>
        <v>44.829564077351698</v>
      </c>
      <c r="D81" s="155">
        <f t="shared" ref="D81" si="67">100*(B81/B80-1)</f>
        <v>0</v>
      </c>
      <c r="E81" s="155">
        <f t="shared" ref="E81" si="68">100*((B81/$B$65)-1)</f>
        <v>-23.733184637903403</v>
      </c>
      <c r="F81" s="156">
        <f t="shared" ref="F81" si="69">(100*(B81/B69-1))</f>
        <v>-23.733184637903403</v>
      </c>
      <c r="G81" s="157">
        <f t="shared" ref="G81" si="70">100*(B81/B57-1)</f>
        <v>-27.761272859312069</v>
      </c>
      <c r="H81" s="138">
        <f t="shared" si="50"/>
        <v>1</v>
      </c>
      <c r="I81" s="73"/>
      <c r="J81" s="73"/>
      <c r="K81" s="73"/>
    </row>
    <row r="82" spans="1:12" ht="16.5" customHeight="1" x14ac:dyDescent="0.25">
      <c r="A82" s="25" t="s">
        <v>311</v>
      </c>
      <c r="B82" s="78"/>
      <c r="C82" s="63"/>
      <c r="D82" s="64"/>
      <c r="E82" s="64"/>
      <c r="F82" s="65"/>
      <c r="G82" s="66"/>
      <c r="H82" s="67"/>
      <c r="I82" s="79"/>
    </row>
    <row r="83" spans="1:12" x14ac:dyDescent="0.2">
      <c r="A83" s="25" t="s">
        <v>310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1"/>
    </row>
    <row r="84" spans="1:12" x14ac:dyDescent="0.2">
      <c r="A84" s="45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1"/>
    </row>
    <row r="85" spans="1:12" x14ac:dyDescent="0.2">
      <c r="A85" s="69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1"/>
    </row>
    <row r="86" spans="1:12" x14ac:dyDescent="0.2">
      <c r="A86" s="82"/>
      <c r="B86" s="81"/>
      <c r="C86" s="81"/>
      <c r="D86" s="81"/>
      <c r="E86" s="81"/>
      <c r="F86" s="81"/>
      <c r="G86" s="81"/>
      <c r="H86" s="81"/>
      <c r="I86" s="80"/>
      <c r="J86" s="80"/>
      <c r="K86" s="80"/>
      <c r="L86" s="81"/>
    </row>
    <row r="87" spans="1:12" x14ac:dyDescent="0.2">
      <c r="B87" s="81"/>
      <c r="C87" s="81"/>
      <c r="D87" s="81"/>
      <c r="E87" s="81"/>
      <c r="F87" s="81"/>
      <c r="G87" s="81"/>
      <c r="H87" s="81"/>
      <c r="I87" s="80"/>
      <c r="J87" s="80"/>
      <c r="K87" s="80"/>
      <c r="L87" s="81"/>
    </row>
    <row r="88" spans="1:12" x14ac:dyDescent="0.2">
      <c r="B88" s="81"/>
      <c r="C88" s="81"/>
      <c r="D88" s="81"/>
      <c r="E88" s="81"/>
      <c r="F88" s="81"/>
      <c r="G88" s="81"/>
      <c r="H88" s="81"/>
      <c r="I88" s="80"/>
      <c r="J88" s="80"/>
      <c r="K88" s="80"/>
      <c r="L88" s="81"/>
    </row>
    <row r="89" spans="1:12" x14ac:dyDescent="0.2">
      <c r="A89" s="48"/>
      <c r="B89" s="81"/>
      <c r="C89" s="81"/>
      <c r="D89" s="81"/>
      <c r="E89" s="81"/>
      <c r="F89" s="81"/>
      <c r="G89" s="81"/>
      <c r="H89" s="81"/>
      <c r="I89" s="80"/>
      <c r="J89" s="80"/>
      <c r="K89" s="80"/>
      <c r="L89" s="81"/>
    </row>
    <row r="90" spans="1:12" x14ac:dyDescent="0.2">
      <c r="A90" s="48"/>
      <c r="B90" s="81"/>
      <c r="C90" s="81"/>
      <c r="D90" s="81"/>
      <c r="E90" s="81"/>
      <c r="F90" s="81"/>
      <c r="G90" s="81"/>
      <c r="H90" s="81"/>
      <c r="I90" s="80"/>
      <c r="J90" s="80"/>
      <c r="K90" s="80"/>
      <c r="L90" s="81"/>
    </row>
    <row r="91" spans="1:12" x14ac:dyDescent="0.2">
      <c r="B91" s="49"/>
      <c r="C91" s="49"/>
      <c r="D91" s="50"/>
      <c r="E91" s="49"/>
      <c r="F91" s="81"/>
      <c r="G91" s="81"/>
      <c r="H91" s="81"/>
      <c r="I91" s="80"/>
      <c r="J91" s="80"/>
      <c r="K91" s="80"/>
      <c r="L91" s="81"/>
    </row>
    <row r="92" spans="1:12" x14ac:dyDescent="0.2">
      <c r="B92" s="81"/>
      <c r="C92" s="81"/>
      <c r="D92" s="81"/>
      <c r="E92" s="81"/>
      <c r="F92" s="81"/>
      <c r="G92" s="81"/>
      <c r="H92" s="81"/>
      <c r="I92" s="80"/>
      <c r="J92" s="80"/>
      <c r="K92" s="80"/>
      <c r="L92" s="81"/>
    </row>
    <row r="93" spans="1:12" x14ac:dyDescent="0.2">
      <c r="B93" s="81"/>
      <c r="C93" s="81"/>
      <c r="D93" s="81"/>
      <c r="E93" s="81"/>
      <c r="F93" s="81"/>
      <c r="G93" s="81"/>
      <c r="H93" s="81"/>
      <c r="I93" s="80"/>
      <c r="J93" s="80"/>
      <c r="K93" s="80"/>
      <c r="L93" s="81"/>
    </row>
    <row r="94" spans="1:12" x14ac:dyDescent="0.2">
      <c r="B94" s="81"/>
      <c r="C94" s="81"/>
      <c r="D94" s="81"/>
      <c r="E94" s="81"/>
      <c r="F94" s="81"/>
      <c r="G94" s="81"/>
      <c r="H94" s="81"/>
      <c r="I94" s="80"/>
      <c r="J94" s="80"/>
      <c r="K94" s="80"/>
      <c r="L94" s="81"/>
    </row>
    <row r="95" spans="1:12" x14ac:dyDescent="0.2">
      <c r="B95" s="81"/>
      <c r="C95" s="81"/>
      <c r="D95" s="81"/>
      <c r="E95" s="81"/>
      <c r="F95" s="81"/>
      <c r="G95" s="81"/>
      <c r="H95" s="81"/>
      <c r="I95" s="80"/>
      <c r="J95" s="80"/>
      <c r="K95" s="80"/>
      <c r="L95" s="81"/>
    </row>
    <row r="96" spans="1:12" x14ac:dyDescent="0.2">
      <c r="B96" s="81"/>
      <c r="C96" s="81"/>
      <c r="D96" s="81"/>
      <c r="E96" s="81"/>
      <c r="F96" s="81"/>
      <c r="G96" s="81"/>
      <c r="H96" s="81"/>
      <c r="I96" s="80"/>
      <c r="J96" s="80"/>
      <c r="K96" s="80"/>
      <c r="L96" s="81"/>
    </row>
    <row r="97" spans="1:12" x14ac:dyDescent="0.2">
      <c r="B97" s="81"/>
      <c r="C97" s="81"/>
      <c r="D97" s="81"/>
      <c r="E97" s="81"/>
      <c r="F97" s="81"/>
      <c r="G97" s="81"/>
      <c r="H97" s="81"/>
      <c r="I97" s="80"/>
      <c r="J97" s="80"/>
      <c r="K97" s="80"/>
      <c r="L97" s="81"/>
    </row>
    <row r="98" spans="1:12" x14ac:dyDescent="0.2">
      <c r="B98" s="81"/>
      <c r="C98" s="81"/>
      <c r="D98" s="81"/>
      <c r="E98" s="81"/>
      <c r="F98" s="81"/>
      <c r="G98" s="81"/>
      <c r="H98" s="81"/>
      <c r="I98" s="80"/>
      <c r="J98" s="80"/>
      <c r="K98" s="80"/>
      <c r="L98" s="81"/>
    </row>
    <row r="99" spans="1:12" x14ac:dyDescent="0.2">
      <c r="B99" s="81"/>
      <c r="C99" s="81"/>
      <c r="D99" s="81"/>
      <c r="E99" s="81"/>
      <c r="F99" s="81"/>
      <c r="G99" s="81"/>
      <c r="H99" s="81"/>
      <c r="I99" s="80"/>
      <c r="J99" s="80"/>
      <c r="K99" s="80"/>
      <c r="L99" s="81"/>
    </row>
    <row r="100" spans="1:12" x14ac:dyDescent="0.2">
      <c r="B100" s="81"/>
      <c r="C100" s="81"/>
      <c r="D100" s="81"/>
      <c r="E100" s="81"/>
      <c r="F100" s="81"/>
      <c r="G100" s="81"/>
      <c r="H100" s="81"/>
      <c r="I100" s="80"/>
      <c r="J100" s="80"/>
      <c r="K100" s="80"/>
      <c r="L100" s="81"/>
    </row>
    <row r="101" spans="1:12" x14ac:dyDescent="0.2">
      <c r="B101" s="81"/>
      <c r="C101" s="81"/>
      <c r="D101" s="81"/>
      <c r="E101" s="81"/>
      <c r="F101" s="81"/>
      <c r="G101" s="81"/>
      <c r="H101" s="81"/>
      <c r="I101" s="80"/>
      <c r="J101" s="80"/>
      <c r="K101" s="80"/>
      <c r="L101" s="81"/>
    </row>
    <row r="102" spans="1:12" x14ac:dyDescent="0.2">
      <c r="B102" s="81"/>
      <c r="C102" s="81"/>
      <c r="D102" s="81"/>
      <c r="E102" s="81"/>
      <c r="F102" s="81"/>
      <c r="G102" s="81"/>
      <c r="H102" s="81"/>
      <c r="I102" s="80"/>
      <c r="J102" s="80"/>
      <c r="K102" s="80"/>
      <c r="L102" s="81"/>
    </row>
    <row r="103" spans="1:12" x14ac:dyDescent="0.2">
      <c r="A103" s="82"/>
      <c r="B103" s="81"/>
      <c r="C103" s="81"/>
      <c r="D103" s="81"/>
      <c r="E103" s="81"/>
      <c r="F103" s="81"/>
      <c r="G103" s="81"/>
      <c r="H103" s="81"/>
      <c r="I103" s="80"/>
      <c r="J103" s="80"/>
      <c r="K103" s="80"/>
      <c r="L103" s="81"/>
    </row>
    <row r="104" spans="1:12" x14ac:dyDescent="0.2">
      <c r="B104" s="81"/>
      <c r="C104" s="81"/>
      <c r="D104" s="81"/>
      <c r="E104" s="81"/>
      <c r="F104" s="81"/>
      <c r="G104" s="81"/>
      <c r="H104" s="81"/>
      <c r="I104" s="80"/>
      <c r="J104" s="80"/>
      <c r="K104" s="80"/>
      <c r="L104" s="81"/>
    </row>
    <row r="105" spans="1:12" x14ac:dyDescent="0.2">
      <c r="B105" s="81"/>
      <c r="C105" s="81"/>
      <c r="D105" s="81"/>
      <c r="E105" s="81"/>
      <c r="F105" s="81"/>
      <c r="G105" s="81"/>
      <c r="H105" s="81"/>
      <c r="I105" s="80"/>
      <c r="J105" s="80"/>
      <c r="K105" s="80"/>
      <c r="L105" s="81"/>
    </row>
    <row r="106" spans="1:12" x14ac:dyDescent="0.2">
      <c r="A106" s="48"/>
      <c r="B106" s="81"/>
      <c r="C106" s="81"/>
      <c r="D106" s="81"/>
      <c r="E106" s="81"/>
      <c r="F106" s="81"/>
      <c r="G106" s="81"/>
      <c r="H106" s="81"/>
      <c r="I106" s="80"/>
      <c r="J106" s="80"/>
      <c r="K106" s="80"/>
      <c r="L106" s="81"/>
    </row>
    <row r="107" spans="1:12" x14ac:dyDescent="0.2">
      <c r="A107" s="48"/>
      <c r="B107" s="81"/>
      <c r="C107" s="81"/>
      <c r="D107" s="81"/>
      <c r="E107" s="81"/>
      <c r="F107" s="81"/>
      <c r="G107" s="81"/>
      <c r="H107" s="81"/>
      <c r="I107" s="80"/>
      <c r="J107" s="80"/>
      <c r="K107" s="80"/>
      <c r="L107" s="81"/>
    </row>
    <row r="108" spans="1:12" x14ac:dyDescent="0.2">
      <c r="B108" s="49"/>
      <c r="C108" s="49"/>
      <c r="D108" s="50"/>
      <c r="E108" s="49"/>
      <c r="F108" s="81"/>
      <c r="G108" s="81"/>
      <c r="H108" s="81"/>
      <c r="I108" s="80"/>
      <c r="J108" s="80"/>
      <c r="K108" s="80"/>
      <c r="L108" s="81"/>
    </row>
    <row r="109" spans="1:12" x14ac:dyDescent="0.2">
      <c r="B109" s="81"/>
      <c r="C109" s="81"/>
      <c r="D109" s="81"/>
      <c r="E109" s="81"/>
      <c r="F109" s="81"/>
      <c r="G109" s="81"/>
      <c r="H109" s="81"/>
      <c r="I109" s="80"/>
      <c r="J109" s="80"/>
      <c r="K109" s="80"/>
      <c r="L109" s="81"/>
    </row>
    <row r="110" spans="1:12" x14ac:dyDescent="0.2">
      <c r="B110" s="81"/>
      <c r="C110" s="81"/>
      <c r="D110" s="81"/>
      <c r="E110" s="81"/>
      <c r="F110" s="81"/>
      <c r="G110" s="81"/>
      <c r="H110" s="81"/>
      <c r="I110" s="80"/>
      <c r="J110" s="80"/>
      <c r="K110" s="80"/>
      <c r="L110" s="81"/>
    </row>
    <row r="111" spans="1:12" x14ac:dyDescent="0.2">
      <c r="B111" s="81"/>
      <c r="C111" s="81"/>
      <c r="D111" s="81"/>
      <c r="E111" s="81"/>
      <c r="F111" s="81"/>
      <c r="G111" s="81"/>
      <c r="H111" s="81"/>
      <c r="I111" s="80"/>
      <c r="J111" s="80"/>
      <c r="K111" s="80"/>
      <c r="L111" s="81"/>
    </row>
    <row r="112" spans="1:12" x14ac:dyDescent="0.2">
      <c r="B112" s="81"/>
      <c r="C112" s="81"/>
      <c r="D112" s="81"/>
      <c r="E112" s="81"/>
      <c r="F112" s="81"/>
      <c r="G112" s="81"/>
      <c r="H112" s="81"/>
      <c r="I112" s="80"/>
      <c r="J112" s="80"/>
      <c r="K112" s="80"/>
      <c r="L112" s="81"/>
    </row>
    <row r="113" spans="1:12" x14ac:dyDescent="0.2">
      <c r="B113" s="81"/>
      <c r="C113" s="81"/>
      <c r="D113" s="81"/>
      <c r="E113" s="81"/>
      <c r="F113" s="81"/>
      <c r="G113" s="81"/>
      <c r="H113" s="81"/>
      <c r="I113" s="80"/>
      <c r="J113" s="80"/>
      <c r="K113" s="80"/>
      <c r="L113" s="81"/>
    </row>
    <row r="114" spans="1:12" x14ac:dyDescent="0.2">
      <c r="B114" s="81"/>
      <c r="C114" s="81"/>
      <c r="D114" s="81"/>
      <c r="E114" s="81"/>
      <c r="F114" s="81"/>
      <c r="G114" s="81"/>
      <c r="H114" s="81"/>
      <c r="I114" s="80"/>
      <c r="J114" s="80"/>
      <c r="K114" s="80"/>
      <c r="L114" s="81"/>
    </row>
    <row r="115" spans="1:12" x14ac:dyDescent="0.2">
      <c r="B115" s="81"/>
      <c r="C115" s="81"/>
      <c r="D115" s="81"/>
      <c r="E115" s="81"/>
      <c r="F115" s="81"/>
      <c r="G115" s="81"/>
      <c r="H115" s="81"/>
      <c r="I115" s="80"/>
      <c r="J115" s="80"/>
      <c r="K115" s="80"/>
      <c r="L115" s="81"/>
    </row>
    <row r="116" spans="1:12" x14ac:dyDescent="0.2">
      <c r="B116" s="81"/>
      <c r="C116" s="81"/>
      <c r="D116" s="81"/>
      <c r="E116" s="81"/>
      <c r="F116" s="81"/>
      <c r="G116" s="81"/>
      <c r="H116" s="81"/>
      <c r="I116" s="80"/>
      <c r="J116" s="80"/>
      <c r="K116" s="80"/>
      <c r="L116" s="81"/>
    </row>
    <row r="117" spans="1:12" x14ac:dyDescent="0.2">
      <c r="B117" s="81"/>
      <c r="C117" s="81"/>
      <c r="D117" s="81"/>
      <c r="E117" s="81"/>
      <c r="F117" s="81"/>
      <c r="G117" s="81"/>
      <c r="H117" s="81"/>
      <c r="I117" s="80"/>
      <c r="J117" s="80"/>
      <c r="K117" s="80"/>
      <c r="L117" s="81"/>
    </row>
    <row r="118" spans="1:12" x14ac:dyDescent="0.2">
      <c r="B118" s="81"/>
      <c r="C118" s="81"/>
      <c r="D118" s="81"/>
      <c r="E118" s="81"/>
      <c r="F118" s="81"/>
      <c r="G118" s="81"/>
      <c r="H118" s="81"/>
      <c r="I118" s="80"/>
      <c r="J118" s="80"/>
      <c r="K118" s="80"/>
      <c r="L118" s="81"/>
    </row>
    <row r="119" spans="1:12" x14ac:dyDescent="0.2">
      <c r="B119" s="81"/>
      <c r="C119" s="81"/>
      <c r="D119" s="81"/>
      <c r="E119" s="81"/>
      <c r="F119" s="81"/>
      <c r="G119" s="81"/>
      <c r="H119" s="81"/>
      <c r="I119" s="80"/>
      <c r="J119" s="80"/>
      <c r="K119" s="80"/>
      <c r="L119" s="81"/>
    </row>
    <row r="120" spans="1:12" x14ac:dyDescent="0.2">
      <c r="A120" s="82"/>
      <c r="B120" s="81"/>
      <c r="C120" s="81"/>
      <c r="D120" s="81"/>
      <c r="E120" s="81"/>
      <c r="F120" s="81"/>
      <c r="G120" s="81"/>
      <c r="H120" s="81"/>
      <c r="I120" s="80"/>
      <c r="J120" s="80"/>
      <c r="K120" s="80"/>
      <c r="L120" s="81"/>
    </row>
    <row r="121" spans="1:12" x14ac:dyDescent="0.2">
      <c r="B121" s="81"/>
      <c r="C121" s="81"/>
      <c r="D121" s="81"/>
      <c r="E121" s="81"/>
      <c r="F121" s="81"/>
      <c r="G121" s="81"/>
      <c r="H121" s="81"/>
      <c r="I121" s="80"/>
      <c r="J121" s="80"/>
      <c r="K121" s="80"/>
      <c r="L121" s="81"/>
    </row>
    <row r="122" spans="1:12" x14ac:dyDescent="0.2">
      <c r="B122" s="81"/>
      <c r="C122" s="81"/>
      <c r="D122" s="81"/>
      <c r="E122" s="81"/>
      <c r="F122" s="81"/>
      <c r="G122" s="81"/>
      <c r="H122" s="81"/>
      <c r="I122" s="80"/>
      <c r="J122" s="80"/>
      <c r="K122" s="80"/>
      <c r="L122" s="81"/>
    </row>
    <row r="123" spans="1:12" x14ac:dyDescent="0.2">
      <c r="B123" s="81"/>
      <c r="C123" s="81"/>
      <c r="D123" s="81"/>
      <c r="E123" s="81"/>
      <c r="F123" s="81"/>
      <c r="G123" s="81"/>
      <c r="H123" s="81"/>
      <c r="I123" s="80"/>
      <c r="J123" s="80"/>
      <c r="K123" s="80"/>
      <c r="L123" s="81"/>
    </row>
    <row r="124" spans="1:12" x14ac:dyDescent="0.2">
      <c r="B124" s="81"/>
      <c r="C124" s="81"/>
      <c r="D124" s="81"/>
      <c r="E124" s="81"/>
      <c r="F124" s="81"/>
      <c r="G124" s="81"/>
      <c r="H124" s="81"/>
      <c r="I124" s="80"/>
      <c r="J124" s="80"/>
      <c r="K124" s="80"/>
      <c r="L124" s="81"/>
    </row>
    <row r="125" spans="1:12" x14ac:dyDescent="0.2">
      <c r="B125" s="81"/>
      <c r="C125" s="81"/>
      <c r="D125" s="81"/>
      <c r="E125" s="81"/>
      <c r="F125" s="81"/>
      <c r="G125" s="81"/>
      <c r="H125" s="81"/>
      <c r="I125" s="80"/>
      <c r="J125" s="80"/>
      <c r="K125" s="80"/>
      <c r="L125" s="81"/>
    </row>
    <row r="126" spans="1:12" x14ac:dyDescent="0.2">
      <c r="B126" s="81"/>
      <c r="C126" s="81"/>
      <c r="D126" s="81"/>
      <c r="E126" s="81"/>
      <c r="F126" s="81"/>
      <c r="G126" s="81"/>
      <c r="H126" s="81"/>
      <c r="I126" s="80"/>
      <c r="J126" s="80"/>
      <c r="K126" s="80"/>
      <c r="L126" s="81"/>
    </row>
    <row r="127" spans="1:12" x14ac:dyDescent="0.2">
      <c r="B127" s="81"/>
      <c r="C127" s="81"/>
      <c r="D127" s="81"/>
      <c r="E127" s="81"/>
      <c r="F127" s="81"/>
      <c r="G127" s="81"/>
      <c r="H127" s="81"/>
      <c r="I127" s="80"/>
      <c r="J127" s="80"/>
      <c r="K127" s="80"/>
      <c r="L127" s="81"/>
    </row>
    <row r="128" spans="1:12" x14ac:dyDescent="0.2">
      <c r="B128" s="81"/>
      <c r="C128" s="81"/>
      <c r="D128" s="81"/>
      <c r="E128" s="81"/>
      <c r="F128" s="81"/>
      <c r="G128" s="81"/>
      <c r="H128" s="81"/>
      <c r="I128" s="80"/>
      <c r="J128" s="80"/>
      <c r="K128" s="80"/>
      <c r="L128" s="81"/>
    </row>
    <row r="129" spans="2:12" x14ac:dyDescent="0.2">
      <c r="B129" s="81"/>
      <c r="C129" s="81"/>
      <c r="D129" s="81"/>
      <c r="E129" s="81"/>
      <c r="F129" s="81"/>
      <c r="G129" s="81"/>
      <c r="H129" s="81"/>
      <c r="I129" s="80"/>
      <c r="J129" s="80"/>
      <c r="K129" s="80"/>
      <c r="L129" s="81"/>
    </row>
    <row r="130" spans="2:12" x14ac:dyDescent="0.2">
      <c r="B130" s="81"/>
      <c r="C130" s="81"/>
      <c r="D130" s="81"/>
      <c r="E130" s="81"/>
      <c r="F130" s="81"/>
      <c r="G130" s="81"/>
      <c r="H130" s="81"/>
      <c r="I130" s="80"/>
      <c r="J130" s="80"/>
      <c r="K130" s="80"/>
      <c r="L130" s="81"/>
    </row>
    <row r="131" spans="2:12" x14ac:dyDescent="0.2">
      <c r="B131" s="81"/>
      <c r="C131" s="81"/>
      <c r="D131" s="81"/>
      <c r="E131" s="81"/>
      <c r="F131" s="81"/>
      <c r="G131" s="81"/>
      <c r="H131" s="81"/>
      <c r="I131" s="80"/>
      <c r="J131" s="80"/>
      <c r="K131" s="80"/>
      <c r="L131" s="81"/>
    </row>
    <row r="132" spans="2:12" x14ac:dyDescent="0.2">
      <c r="B132" s="81"/>
      <c r="C132" s="81"/>
      <c r="D132" s="81"/>
      <c r="E132" s="81"/>
      <c r="F132" s="81"/>
      <c r="G132" s="81"/>
      <c r="H132" s="81"/>
      <c r="I132" s="80"/>
      <c r="J132" s="80"/>
      <c r="K132" s="80"/>
      <c r="L132" s="81"/>
    </row>
    <row r="133" spans="2:12" x14ac:dyDescent="0.2">
      <c r="B133" s="81"/>
      <c r="C133" s="81"/>
      <c r="D133" s="81"/>
      <c r="E133" s="81"/>
      <c r="F133" s="81"/>
      <c r="G133" s="81"/>
      <c r="H133" s="81"/>
      <c r="I133" s="80"/>
      <c r="J133" s="80"/>
      <c r="K133" s="80"/>
      <c r="L133" s="81"/>
    </row>
    <row r="134" spans="2:12" x14ac:dyDescent="0.2">
      <c r="B134" s="81"/>
      <c r="C134" s="81"/>
      <c r="D134" s="81"/>
      <c r="E134" s="81"/>
      <c r="F134" s="81"/>
      <c r="G134" s="81"/>
      <c r="H134" s="81"/>
      <c r="I134" s="80"/>
      <c r="J134" s="80"/>
      <c r="K134" s="80"/>
      <c r="L134" s="81"/>
    </row>
    <row r="135" spans="2:12" x14ac:dyDescent="0.2">
      <c r="B135" s="81"/>
      <c r="C135" s="81"/>
      <c r="D135" s="81"/>
      <c r="E135" s="81"/>
      <c r="F135" s="81"/>
      <c r="G135" s="81"/>
      <c r="H135" s="81"/>
      <c r="I135" s="80"/>
      <c r="J135" s="80"/>
      <c r="K135" s="80"/>
      <c r="L135" s="81"/>
    </row>
    <row r="136" spans="2:12" x14ac:dyDescent="0.2">
      <c r="B136" s="81"/>
      <c r="C136" s="81"/>
      <c r="D136" s="81"/>
      <c r="E136" s="81"/>
      <c r="F136" s="81"/>
      <c r="G136" s="81"/>
      <c r="H136" s="81"/>
      <c r="I136" s="80"/>
      <c r="J136" s="80"/>
      <c r="K136" s="80"/>
      <c r="L136" s="81"/>
    </row>
    <row r="137" spans="2:12" x14ac:dyDescent="0.2">
      <c r="B137" s="81"/>
      <c r="C137" s="81"/>
      <c r="D137" s="81"/>
      <c r="E137" s="81"/>
      <c r="F137" s="81"/>
      <c r="G137" s="81"/>
      <c r="H137" s="81"/>
      <c r="I137" s="80"/>
      <c r="J137" s="80"/>
      <c r="K137" s="80"/>
      <c r="L137" s="81"/>
    </row>
    <row r="138" spans="2:12" x14ac:dyDescent="0.2">
      <c r="B138" s="81"/>
      <c r="C138" s="81"/>
      <c r="D138" s="81"/>
      <c r="E138" s="81"/>
      <c r="F138" s="81"/>
      <c r="G138" s="81"/>
      <c r="H138" s="81"/>
      <c r="I138" s="80"/>
      <c r="J138" s="80"/>
      <c r="K138" s="80"/>
      <c r="L138" s="81"/>
    </row>
    <row r="139" spans="2:12" x14ac:dyDescent="0.2">
      <c r="B139" s="81"/>
      <c r="C139" s="81"/>
      <c r="D139" s="81"/>
      <c r="E139" s="81"/>
      <c r="F139" s="81"/>
      <c r="G139" s="81"/>
      <c r="H139" s="81"/>
      <c r="I139" s="80"/>
      <c r="J139" s="80"/>
      <c r="K139" s="80"/>
      <c r="L139" s="81"/>
    </row>
    <row r="140" spans="2:12" x14ac:dyDescent="0.2">
      <c r="B140" s="81"/>
      <c r="C140" s="81"/>
      <c r="D140" s="81"/>
      <c r="E140" s="81"/>
      <c r="F140" s="81"/>
      <c r="G140" s="81"/>
      <c r="H140" s="81"/>
      <c r="I140" s="80"/>
      <c r="J140" s="80"/>
      <c r="K140" s="80"/>
      <c r="L140" s="81"/>
    </row>
    <row r="141" spans="2:12" x14ac:dyDescent="0.2">
      <c r="B141" s="81"/>
      <c r="C141" s="81"/>
      <c r="D141" s="81"/>
      <c r="E141" s="81"/>
      <c r="F141" s="81"/>
      <c r="G141" s="81"/>
      <c r="H141" s="81"/>
      <c r="I141" s="80"/>
      <c r="J141" s="80"/>
      <c r="K141" s="80"/>
      <c r="L141" s="81"/>
    </row>
    <row r="142" spans="2:12" x14ac:dyDescent="0.2">
      <c r="B142" s="81"/>
      <c r="C142" s="81"/>
      <c r="D142" s="81"/>
      <c r="E142" s="81"/>
      <c r="F142" s="81"/>
      <c r="G142" s="81"/>
      <c r="H142" s="81"/>
      <c r="I142" s="80"/>
      <c r="J142" s="80"/>
      <c r="K142" s="80"/>
      <c r="L142" s="81"/>
    </row>
    <row r="143" spans="2:12" x14ac:dyDescent="0.2">
      <c r="B143" s="81"/>
      <c r="C143" s="81"/>
      <c r="D143" s="81"/>
      <c r="E143" s="81"/>
      <c r="F143" s="81"/>
      <c r="G143" s="81"/>
      <c r="H143" s="81"/>
      <c r="I143" s="80"/>
      <c r="J143" s="80"/>
      <c r="K143" s="80"/>
      <c r="L143" s="81"/>
    </row>
    <row r="144" spans="2:12" x14ac:dyDescent="0.2">
      <c r="B144" s="81"/>
      <c r="C144" s="81"/>
      <c r="D144" s="81"/>
      <c r="E144" s="81"/>
      <c r="F144" s="81"/>
      <c r="G144" s="81"/>
      <c r="H144" s="81"/>
      <c r="I144" s="80"/>
      <c r="J144" s="80"/>
      <c r="K144" s="80"/>
      <c r="L144" s="81"/>
    </row>
    <row r="145" spans="2:12" x14ac:dyDescent="0.2">
      <c r="B145" s="81"/>
      <c r="C145" s="81"/>
      <c r="D145" s="81"/>
      <c r="E145" s="81"/>
      <c r="F145" s="81"/>
      <c r="G145" s="81"/>
      <c r="H145" s="81"/>
      <c r="I145" s="80"/>
      <c r="J145" s="80"/>
      <c r="K145" s="80"/>
      <c r="L145" s="81"/>
    </row>
    <row r="146" spans="2:12" x14ac:dyDescent="0.2">
      <c r="B146" s="81"/>
      <c r="C146" s="81"/>
      <c r="D146" s="81"/>
      <c r="E146" s="81"/>
      <c r="F146" s="81"/>
      <c r="G146" s="81"/>
      <c r="H146" s="81"/>
      <c r="I146" s="80"/>
      <c r="J146" s="80"/>
      <c r="K146" s="80"/>
      <c r="L146" s="81"/>
    </row>
    <row r="147" spans="2:12" x14ac:dyDescent="0.2">
      <c r="B147" s="81"/>
      <c r="C147" s="81"/>
      <c r="D147" s="81"/>
      <c r="E147" s="81"/>
      <c r="F147" s="81"/>
      <c r="G147" s="81"/>
      <c r="H147" s="81"/>
      <c r="I147" s="80"/>
      <c r="J147" s="80"/>
      <c r="K147" s="80"/>
      <c r="L147" s="81"/>
    </row>
    <row r="148" spans="2:12" x14ac:dyDescent="0.2">
      <c r="B148" s="81"/>
      <c r="C148" s="81"/>
      <c r="D148" s="81"/>
      <c r="E148" s="81"/>
      <c r="F148" s="81"/>
      <c r="G148" s="81"/>
      <c r="H148" s="81"/>
      <c r="I148" s="80"/>
      <c r="J148" s="80"/>
      <c r="K148" s="80"/>
      <c r="L148" s="81"/>
    </row>
    <row r="149" spans="2:12" x14ac:dyDescent="0.2">
      <c r="B149" s="81"/>
      <c r="C149" s="81"/>
      <c r="D149" s="81"/>
      <c r="E149" s="81"/>
      <c r="F149" s="81"/>
      <c r="G149" s="81"/>
      <c r="H149" s="81"/>
      <c r="I149" s="80"/>
      <c r="J149" s="80"/>
      <c r="K149" s="80"/>
      <c r="L149" s="81"/>
    </row>
    <row r="150" spans="2:12" x14ac:dyDescent="0.2">
      <c r="B150" s="81"/>
      <c r="C150" s="81"/>
      <c r="D150" s="81"/>
      <c r="E150" s="81"/>
      <c r="F150" s="81"/>
      <c r="G150" s="81"/>
      <c r="H150" s="81"/>
      <c r="I150" s="80"/>
      <c r="J150" s="80"/>
      <c r="K150" s="80"/>
      <c r="L150" s="81"/>
    </row>
    <row r="151" spans="2:12" x14ac:dyDescent="0.2">
      <c r="B151" s="81"/>
      <c r="C151" s="81"/>
      <c r="D151" s="81"/>
      <c r="E151" s="81"/>
      <c r="F151" s="81"/>
      <c r="G151" s="81"/>
      <c r="H151" s="81"/>
      <c r="I151" s="80"/>
      <c r="J151" s="80"/>
      <c r="K151" s="80"/>
      <c r="L151" s="81"/>
    </row>
    <row r="152" spans="2:12" x14ac:dyDescent="0.2">
      <c r="B152" s="81"/>
      <c r="C152" s="81"/>
      <c r="D152" s="81"/>
      <c r="E152" s="81"/>
      <c r="F152" s="81"/>
      <c r="G152" s="81"/>
      <c r="H152" s="81"/>
      <c r="I152" s="80"/>
      <c r="J152" s="80"/>
      <c r="K152" s="80"/>
      <c r="L152" s="81"/>
    </row>
    <row r="153" spans="2:12" x14ac:dyDescent="0.2">
      <c r="B153" s="81"/>
      <c r="C153" s="81"/>
      <c r="D153" s="81"/>
      <c r="E153" s="81"/>
      <c r="F153" s="81"/>
      <c r="G153" s="81"/>
      <c r="H153" s="81"/>
      <c r="I153" s="80"/>
      <c r="J153" s="80"/>
      <c r="K153" s="80"/>
      <c r="L153" s="81"/>
    </row>
    <row r="154" spans="2:12" x14ac:dyDescent="0.2">
      <c r="B154" s="81"/>
      <c r="C154" s="81"/>
      <c r="D154" s="81"/>
      <c r="E154" s="81"/>
      <c r="F154" s="81"/>
      <c r="G154" s="81"/>
      <c r="H154" s="81"/>
      <c r="I154" s="80"/>
      <c r="J154" s="80"/>
      <c r="K154" s="80"/>
      <c r="L154" s="81"/>
    </row>
    <row r="155" spans="2:12" x14ac:dyDescent="0.2">
      <c r="B155" s="81"/>
      <c r="C155" s="81"/>
      <c r="D155" s="81"/>
      <c r="E155" s="81"/>
      <c r="F155" s="81"/>
      <c r="G155" s="81"/>
      <c r="H155" s="81"/>
      <c r="I155" s="80"/>
      <c r="J155" s="80"/>
      <c r="K155" s="80"/>
      <c r="L155" s="81"/>
    </row>
    <row r="156" spans="2:12" x14ac:dyDescent="0.2">
      <c r="B156" s="81"/>
      <c r="C156" s="81"/>
      <c r="D156" s="81"/>
      <c r="E156" s="81"/>
      <c r="F156" s="81"/>
      <c r="G156" s="81"/>
      <c r="H156" s="81"/>
      <c r="I156" s="80"/>
      <c r="J156" s="80"/>
      <c r="K156" s="80"/>
      <c r="L156" s="81"/>
    </row>
    <row r="157" spans="2:12" x14ac:dyDescent="0.2">
      <c r="B157" s="81"/>
      <c r="C157" s="81"/>
      <c r="D157" s="81"/>
      <c r="E157" s="81"/>
      <c r="F157" s="81"/>
      <c r="G157" s="81"/>
      <c r="H157" s="81"/>
      <c r="I157" s="80"/>
      <c r="J157" s="80"/>
      <c r="K157" s="80"/>
      <c r="L157" s="81"/>
    </row>
    <row r="158" spans="2:12" x14ac:dyDescent="0.2">
      <c r="B158" s="81"/>
      <c r="C158" s="81"/>
      <c r="D158" s="81"/>
      <c r="E158" s="81"/>
      <c r="F158" s="81"/>
      <c r="G158" s="81"/>
      <c r="H158" s="81"/>
      <c r="I158" s="80"/>
      <c r="J158" s="80"/>
      <c r="K158" s="80"/>
      <c r="L158" s="81"/>
    </row>
    <row r="159" spans="2:12" x14ac:dyDescent="0.2">
      <c r="B159" s="81"/>
      <c r="C159" s="81"/>
      <c r="D159" s="81"/>
      <c r="E159" s="81"/>
      <c r="F159" s="81"/>
      <c r="G159" s="81"/>
      <c r="H159" s="81"/>
      <c r="I159" s="80"/>
      <c r="J159" s="80"/>
      <c r="K159" s="80"/>
      <c r="L159" s="81"/>
    </row>
    <row r="160" spans="2:12" x14ac:dyDescent="0.2">
      <c r="B160" s="81"/>
      <c r="C160" s="81"/>
      <c r="D160" s="81"/>
      <c r="E160" s="81"/>
      <c r="F160" s="81"/>
      <c r="G160" s="81"/>
      <c r="H160" s="81"/>
      <c r="I160" s="80"/>
      <c r="J160" s="80"/>
      <c r="K160" s="80"/>
      <c r="L160" s="81"/>
    </row>
    <row r="161" spans="2:12" x14ac:dyDescent="0.2">
      <c r="B161" s="81"/>
      <c r="C161" s="81"/>
      <c r="D161" s="81"/>
      <c r="E161" s="81"/>
      <c r="F161" s="81"/>
      <c r="G161" s="81"/>
      <c r="H161" s="81"/>
      <c r="I161" s="80"/>
      <c r="J161" s="80"/>
      <c r="K161" s="80"/>
      <c r="L161" s="81"/>
    </row>
    <row r="162" spans="2:12" x14ac:dyDescent="0.2">
      <c r="B162" s="81"/>
      <c r="C162" s="81"/>
      <c r="D162" s="81"/>
      <c r="E162" s="81"/>
      <c r="F162" s="81"/>
      <c r="G162" s="81"/>
      <c r="H162" s="81"/>
      <c r="I162" s="80"/>
      <c r="J162" s="80"/>
      <c r="K162" s="80"/>
      <c r="L162" s="81"/>
    </row>
    <row r="163" spans="2:12" x14ac:dyDescent="0.2">
      <c r="B163" s="81"/>
      <c r="C163" s="81"/>
      <c r="D163" s="81"/>
      <c r="E163" s="81"/>
      <c r="F163" s="81"/>
      <c r="G163" s="81"/>
      <c r="H163" s="81"/>
      <c r="I163" s="80"/>
      <c r="J163" s="80"/>
      <c r="K163" s="80"/>
      <c r="L163" s="81"/>
    </row>
    <row r="164" spans="2:12" x14ac:dyDescent="0.2">
      <c r="B164" s="81"/>
      <c r="C164" s="81"/>
      <c r="D164" s="81"/>
      <c r="E164" s="81"/>
      <c r="F164" s="81"/>
      <c r="G164" s="81"/>
      <c r="H164" s="81"/>
      <c r="I164" s="80"/>
      <c r="J164" s="80"/>
      <c r="K164" s="80"/>
      <c r="L164" s="81"/>
    </row>
    <row r="165" spans="2:12" x14ac:dyDescent="0.2">
      <c r="B165" s="81"/>
      <c r="C165" s="81"/>
      <c r="D165" s="81"/>
      <c r="E165" s="81"/>
      <c r="F165" s="81"/>
      <c r="G165" s="81"/>
      <c r="H165" s="81"/>
      <c r="I165" s="80"/>
      <c r="J165" s="80"/>
      <c r="K165" s="80"/>
      <c r="L165" s="81"/>
    </row>
    <row r="166" spans="2:12" x14ac:dyDescent="0.2">
      <c r="B166" s="81"/>
      <c r="C166" s="81"/>
      <c r="D166" s="81"/>
      <c r="E166" s="81"/>
      <c r="F166" s="81"/>
      <c r="G166" s="81"/>
      <c r="H166" s="81"/>
      <c r="I166" s="80"/>
      <c r="J166" s="80"/>
      <c r="K166" s="80"/>
      <c r="L166" s="81"/>
    </row>
    <row r="167" spans="2:12" x14ac:dyDescent="0.2">
      <c r="B167" s="81"/>
      <c r="C167" s="81"/>
      <c r="D167" s="81"/>
      <c r="E167" s="81"/>
      <c r="F167" s="81"/>
      <c r="G167" s="81"/>
      <c r="H167" s="81"/>
      <c r="I167" s="80"/>
      <c r="J167" s="80"/>
      <c r="K167" s="80"/>
      <c r="L167" s="81"/>
    </row>
    <row r="168" spans="2:12" x14ac:dyDescent="0.2">
      <c r="B168" s="81"/>
      <c r="C168" s="81"/>
      <c r="D168" s="81"/>
      <c r="E168" s="81"/>
      <c r="F168" s="81"/>
      <c r="G168" s="81"/>
      <c r="H168" s="81"/>
      <c r="I168" s="80"/>
      <c r="J168" s="80"/>
      <c r="K168" s="80"/>
      <c r="L168" s="81"/>
    </row>
    <row r="169" spans="2:12" x14ac:dyDescent="0.2">
      <c r="B169" s="81"/>
      <c r="C169" s="81"/>
      <c r="D169" s="81"/>
      <c r="E169" s="81"/>
      <c r="F169" s="81"/>
      <c r="G169" s="81"/>
      <c r="H169" s="81"/>
      <c r="I169" s="80"/>
      <c r="J169" s="80"/>
      <c r="K169" s="80"/>
      <c r="L169" s="81"/>
    </row>
    <row r="170" spans="2:12" x14ac:dyDescent="0.2">
      <c r="B170" s="81"/>
      <c r="C170" s="81"/>
      <c r="D170" s="81"/>
      <c r="E170" s="81"/>
      <c r="F170" s="81"/>
      <c r="G170" s="81"/>
      <c r="H170" s="81"/>
      <c r="I170" s="80"/>
      <c r="J170" s="80"/>
      <c r="K170" s="80"/>
      <c r="L170" s="81"/>
    </row>
    <row r="171" spans="2:12" x14ac:dyDescent="0.2">
      <c r="B171" s="81"/>
      <c r="C171" s="81"/>
      <c r="D171" s="81"/>
      <c r="E171" s="81"/>
      <c r="F171" s="81"/>
      <c r="G171" s="81"/>
      <c r="H171" s="81"/>
      <c r="I171" s="80"/>
      <c r="J171" s="80"/>
      <c r="K171" s="80"/>
      <c r="L171" s="81"/>
    </row>
    <row r="172" spans="2:12" x14ac:dyDescent="0.2">
      <c r="B172" s="81"/>
      <c r="C172" s="81"/>
      <c r="D172" s="81"/>
      <c r="E172" s="81"/>
      <c r="F172" s="81"/>
      <c r="G172" s="81"/>
      <c r="H172" s="81"/>
      <c r="I172" s="80"/>
      <c r="J172" s="80"/>
      <c r="K172" s="80"/>
      <c r="L172" s="81"/>
    </row>
    <row r="173" spans="2:12" x14ac:dyDescent="0.2">
      <c r="B173" s="81"/>
      <c r="C173" s="81"/>
      <c r="D173" s="81"/>
      <c r="E173" s="81"/>
      <c r="F173" s="81"/>
      <c r="G173" s="81"/>
      <c r="H173" s="81"/>
      <c r="I173" s="80"/>
      <c r="J173" s="80"/>
      <c r="K173" s="80"/>
      <c r="L173" s="81"/>
    </row>
    <row r="174" spans="2:12" x14ac:dyDescent="0.2">
      <c r="B174" s="81"/>
      <c r="C174" s="81"/>
      <c r="D174" s="81"/>
      <c r="E174" s="81"/>
      <c r="F174" s="81"/>
      <c r="G174" s="81"/>
      <c r="H174" s="81"/>
      <c r="I174" s="80"/>
      <c r="J174" s="80"/>
      <c r="K174" s="80"/>
      <c r="L174" s="81"/>
    </row>
    <row r="175" spans="2:12" x14ac:dyDescent="0.2">
      <c r="B175" s="81"/>
      <c r="C175" s="81"/>
      <c r="D175" s="81"/>
      <c r="E175" s="81"/>
      <c r="F175" s="81"/>
      <c r="G175" s="81"/>
      <c r="H175" s="81"/>
      <c r="I175" s="80"/>
      <c r="J175" s="80"/>
      <c r="K175" s="80"/>
      <c r="L175" s="81"/>
    </row>
    <row r="176" spans="2:12" x14ac:dyDescent="0.2">
      <c r="B176" s="81"/>
      <c r="C176" s="81"/>
      <c r="D176" s="81"/>
      <c r="E176" s="81"/>
      <c r="F176" s="81"/>
      <c r="G176" s="81"/>
      <c r="H176" s="81"/>
      <c r="I176" s="80"/>
      <c r="J176" s="80"/>
      <c r="K176" s="80"/>
      <c r="L176" s="81"/>
    </row>
    <row r="177" spans="2:12" x14ac:dyDescent="0.2">
      <c r="B177" s="81"/>
      <c r="C177" s="81"/>
      <c r="D177" s="81"/>
      <c r="E177" s="81"/>
      <c r="F177" s="81"/>
      <c r="G177" s="81"/>
      <c r="H177" s="81"/>
      <c r="I177" s="80"/>
      <c r="J177" s="80"/>
      <c r="K177" s="80"/>
      <c r="L177" s="81"/>
    </row>
    <row r="178" spans="2:12" x14ac:dyDescent="0.2">
      <c r="B178" s="81"/>
      <c r="C178" s="81"/>
      <c r="D178" s="81"/>
      <c r="E178" s="81"/>
      <c r="F178" s="81"/>
      <c r="G178" s="81"/>
      <c r="H178" s="81"/>
      <c r="I178" s="80"/>
      <c r="J178" s="80"/>
      <c r="K178" s="80"/>
      <c r="L178" s="81"/>
    </row>
    <row r="179" spans="2:12" x14ac:dyDescent="0.2">
      <c r="B179" s="81"/>
      <c r="C179" s="81"/>
      <c r="D179" s="81"/>
      <c r="E179" s="81"/>
      <c r="F179" s="81"/>
      <c r="G179" s="81"/>
      <c r="H179" s="81"/>
      <c r="I179" s="80"/>
      <c r="J179" s="80"/>
      <c r="K179" s="80"/>
      <c r="L179" s="81"/>
    </row>
    <row r="180" spans="2:12" x14ac:dyDescent="0.2">
      <c r="B180" s="81"/>
      <c r="C180" s="81"/>
      <c r="D180" s="81"/>
      <c r="E180" s="81"/>
      <c r="F180" s="81"/>
      <c r="G180" s="81"/>
      <c r="H180" s="81"/>
      <c r="I180" s="80"/>
      <c r="J180" s="80"/>
      <c r="K180" s="80"/>
      <c r="L180" s="81"/>
    </row>
    <row r="181" spans="2:12" x14ac:dyDescent="0.2">
      <c r="B181" s="81"/>
      <c r="C181" s="81"/>
      <c r="D181" s="81"/>
      <c r="E181" s="81"/>
      <c r="F181" s="81"/>
      <c r="G181" s="81"/>
      <c r="H181" s="81"/>
      <c r="I181" s="80"/>
      <c r="J181" s="80"/>
      <c r="K181" s="80"/>
      <c r="L181" s="81"/>
    </row>
    <row r="182" spans="2:12" x14ac:dyDescent="0.2">
      <c r="B182" s="81"/>
      <c r="C182" s="81"/>
      <c r="D182" s="81"/>
      <c r="E182" s="81"/>
      <c r="F182" s="81"/>
      <c r="G182" s="81"/>
      <c r="H182" s="81"/>
      <c r="I182" s="80"/>
      <c r="J182" s="80"/>
      <c r="K182" s="80"/>
      <c r="L182" s="81"/>
    </row>
    <row r="183" spans="2:12" x14ac:dyDescent="0.2">
      <c r="B183" s="81"/>
      <c r="C183" s="81"/>
      <c r="D183" s="81"/>
      <c r="E183" s="81"/>
      <c r="F183" s="81"/>
      <c r="G183" s="81"/>
      <c r="H183" s="81"/>
      <c r="I183" s="80"/>
      <c r="J183" s="80"/>
      <c r="K183" s="80"/>
      <c r="L183" s="81"/>
    </row>
    <row r="184" spans="2:12" x14ac:dyDescent="0.2">
      <c r="B184" s="81"/>
      <c r="C184" s="81"/>
      <c r="D184" s="81"/>
      <c r="E184" s="81"/>
      <c r="F184" s="81"/>
      <c r="G184" s="81"/>
      <c r="H184" s="81"/>
      <c r="I184" s="80"/>
      <c r="J184" s="80"/>
      <c r="K184" s="80"/>
      <c r="L184" s="81"/>
    </row>
    <row r="185" spans="2:12" x14ac:dyDescent="0.2">
      <c r="B185" s="81"/>
      <c r="C185" s="81"/>
      <c r="D185" s="81"/>
      <c r="E185" s="81"/>
      <c r="F185" s="81"/>
      <c r="G185" s="81"/>
      <c r="H185" s="81"/>
      <c r="I185" s="80"/>
      <c r="J185" s="80"/>
      <c r="K185" s="80"/>
      <c r="L185" s="81"/>
    </row>
    <row r="186" spans="2:12" x14ac:dyDescent="0.2">
      <c r="B186" s="81"/>
      <c r="C186" s="81"/>
      <c r="D186" s="81"/>
      <c r="E186" s="81"/>
      <c r="F186" s="81"/>
      <c r="G186" s="81"/>
      <c r="H186" s="81"/>
      <c r="I186" s="80"/>
      <c r="J186" s="80"/>
      <c r="K186" s="80"/>
      <c r="L186" s="81"/>
    </row>
    <row r="187" spans="2:12" x14ac:dyDescent="0.2">
      <c r="B187" s="81"/>
      <c r="C187" s="81"/>
      <c r="D187" s="81"/>
      <c r="E187" s="81"/>
      <c r="F187" s="81"/>
      <c r="G187" s="81"/>
      <c r="H187" s="81"/>
      <c r="I187" s="80"/>
      <c r="J187" s="80"/>
      <c r="K187" s="80"/>
      <c r="L187" s="81"/>
    </row>
    <row r="188" spans="2:12" x14ac:dyDescent="0.2">
      <c r="B188" s="81"/>
      <c r="C188" s="81"/>
      <c r="D188" s="81"/>
      <c r="E188" s="81"/>
      <c r="F188" s="81"/>
      <c r="G188" s="81"/>
      <c r="H188" s="81"/>
      <c r="I188" s="80"/>
      <c r="J188" s="80"/>
      <c r="K188" s="80"/>
      <c r="L188" s="81"/>
    </row>
    <row r="189" spans="2:12" x14ac:dyDescent="0.2">
      <c r="B189" s="81"/>
      <c r="C189" s="81"/>
      <c r="D189" s="81"/>
      <c r="E189" s="81"/>
      <c r="F189" s="81"/>
      <c r="G189" s="81"/>
      <c r="H189" s="81"/>
      <c r="I189" s="80"/>
      <c r="J189" s="80"/>
      <c r="K189" s="80"/>
      <c r="L189" s="81"/>
    </row>
    <row r="190" spans="2:12" x14ac:dyDescent="0.2">
      <c r="B190" s="81"/>
      <c r="C190" s="81"/>
      <c r="D190" s="81"/>
      <c r="E190" s="81"/>
      <c r="F190" s="81"/>
      <c r="G190" s="81"/>
      <c r="H190" s="81"/>
      <c r="I190" s="80"/>
      <c r="J190" s="80"/>
      <c r="K190" s="80"/>
      <c r="L190" s="81"/>
    </row>
    <row r="191" spans="2:12" x14ac:dyDescent="0.2">
      <c r="B191" s="81"/>
      <c r="C191" s="81"/>
      <c r="D191" s="81"/>
      <c r="E191" s="81"/>
      <c r="F191" s="81"/>
      <c r="G191" s="81"/>
      <c r="H191" s="81"/>
      <c r="I191" s="80"/>
      <c r="J191" s="80"/>
      <c r="K191" s="80"/>
      <c r="L191" s="81"/>
    </row>
    <row r="192" spans="2:12" x14ac:dyDescent="0.2">
      <c r="B192" s="81"/>
      <c r="C192" s="81"/>
      <c r="D192" s="81"/>
      <c r="E192" s="81"/>
      <c r="F192" s="81"/>
      <c r="G192" s="81"/>
      <c r="H192" s="81"/>
      <c r="I192" s="80"/>
      <c r="J192" s="80"/>
      <c r="K192" s="80"/>
      <c r="L192" s="81"/>
    </row>
    <row r="193" spans="2:12" x14ac:dyDescent="0.2">
      <c r="B193" s="81"/>
      <c r="C193" s="81"/>
      <c r="D193" s="81"/>
      <c r="E193" s="81"/>
      <c r="F193" s="81"/>
      <c r="G193" s="81"/>
      <c r="H193" s="81"/>
      <c r="I193" s="80"/>
      <c r="J193" s="80"/>
      <c r="K193" s="80"/>
      <c r="L193" s="81"/>
    </row>
    <row r="194" spans="2:12" x14ac:dyDescent="0.2">
      <c r="B194" s="81"/>
      <c r="C194" s="81"/>
      <c r="D194" s="81"/>
      <c r="E194" s="81"/>
      <c r="F194" s="81"/>
      <c r="G194" s="81"/>
      <c r="H194" s="81"/>
      <c r="I194" s="80"/>
      <c r="J194" s="80"/>
      <c r="K194" s="80"/>
      <c r="L194" s="81"/>
    </row>
    <row r="195" spans="2:12" x14ac:dyDescent="0.2">
      <c r="B195" s="81"/>
      <c r="C195" s="81"/>
      <c r="D195" s="81"/>
      <c r="E195" s="81"/>
      <c r="F195" s="81"/>
      <c r="G195" s="81"/>
      <c r="H195" s="81"/>
      <c r="I195" s="80"/>
      <c r="J195" s="80"/>
      <c r="K195" s="80"/>
      <c r="L195" s="81"/>
    </row>
    <row r="196" spans="2:12" x14ac:dyDescent="0.2">
      <c r="B196" s="81"/>
      <c r="C196" s="81"/>
      <c r="D196" s="81"/>
      <c r="E196" s="81"/>
      <c r="F196" s="81"/>
      <c r="G196" s="81"/>
      <c r="H196" s="81"/>
      <c r="I196" s="80"/>
      <c r="J196" s="80"/>
      <c r="K196" s="80"/>
      <c r="L196" s="81"/>
    </row>
    <row r="197" spans="2:12" x14ac:dyDescent="0.2">
      <c r="B197" s="81"/>
      <c r="C197" s="81"/>
      <c r="D197" s="81"/>
      <c r="E197" s="81"/>
      <c r="F197" s="81"/>
      <c r="G197" s="81"/>
      <c r="H197" s="81"/>
      <c r="I197" s="80"/>
      <c r="J197" s="80"/>
      <c r="K197" s="80"/>
      <c r="L197" s="81"/>
    </row>
    <row r="198" spans="2:12" x14ac:dyDescent="0.2">
      <c r="B198" s="81"/>
      <c r="C198" s="81"/>
      <c r="D198" s="81"/>
      <c r="E198" s="81"/>
      <c r="F198" s="81"/>
      <c r="G198" s="81"/>
      <c r="H198" s="81"/>
      <c r="I198" s="80"/>
      <c r="J198" s="80"/>
      <c r="K198" s="80"/>
      <c r="L198" s="81"/>
    </row>
    <row r="199" spans="2:12" x14ac:dyDescent="0.2">
      <c r="B199" s="81"/>
      <c r="C199" s="81"/>
      <c r="D199" s="81"/>
      <c r="E199" s="81"/>
      <c r="F199" s="81"/>
      <c r="G199" s="81"/>
      <c r="H199" s="81"/>
      <c r="I199" s="80"/>
      <c r="J199" s="80"/>
      <c r="K199" s="80"/>
      <c r="L199" s="81"/>
    </row>
    <row r="200" spans="2:12" x14ac:dyDescent="0.2">
      <c r="B200" s="81"/>
      <c r="C200" s="81"/>
      <c r="D200" s="81"/>
      <c r="E200" s="81"/>
      <c r="F200" s="81"/>
      <c r="G200" s="81"/>
      <c r="H200" s="81"/>
      <c r="I200" s="80"/>
      <c r="J200" s="80"/>
      <c r="K200" s="80"/>
      <c r="L200" s="81"/>
    </row>
    <row r="201" spans="2:12" x14ac:dyDescent="0.2">
      <c r="B201" s="81"/>
      <c r="C201" s="81"/>
      <c r="D201" s="81"/>
      <c r="E201" s="81"/>
      <c r="F201" s="81"/>
      <c r="G201" s="81"/>
      <c r="H201" s="81"/>
      <c r="I201" s="80"/>
      <c r="J201" s="80"/>
      <c r="K201" s="80"/>
      <c r="L201" s="81"/>
    </row>
    <row r="202" spans="2:12" x14ac:dyDescent="0.2">
      <c r="B202" s="81"/>
      <c r="C202" s="81"/>
      <c r="D202" s="81"/>
      <c r="E202" s="81"/>
      <c r="F202" s="81"/>
      <c r="G202" s="81"/>
      <c r="H202" s="81"/>
      <c r="I202" s="80"/>
      <c r="J202" s="80"/>
      <c r="K202" s="80"/>
      <c r="L202" s="81"/>
    </row>
    <row r="203" spans="2:12" x14ac:dyDescent="0.2">
      <c r="B203" s="81"/>
      <c r="C203" s="81"/>
      <c r="D203" s="81"/>
      <c r="E203" s="81"/>
      <c r="F203" s="81"/>
      <c r="G203" s="81"/>
      <c r="H203" s="81"/>
      <c r="I203" s="80"/>
      <c r="J203" s="80"/>
      <c r="K203" s="80"/>
      <c r="L203" s="81"/>
    </row>
    <row r="204" spans="2:12" x14ac:dyDescent="0.2">
      <c r="B204" s="81"/>
      <c r="C204" s="81"/>
      <c r="D204" s="81"/>
      <c r="E204" s="81"/>
      <c r="F204" s="81"/>
      <c r="G204" s="81"/>
      <c r="H204" s="81"/>
      <c r="I204" s="80"/>
      <c r="J204" s="80"/>
      <c r="K204" s="80"/>
      <c r="L204" s="81"/>
    </row>
    <row r="205" spans="2:12" x14ac:dyDescent="0.2">
      <c r="B205" s="81"/>
      <c r="C205" s="81"/>
      <c r="D205" s="81"/>
      <c r="E205" s="81"/>
      <c r="F205" s="81"/>
      <c r="G205" s="81"/>
      <c r="H205" s="81"/>
      <c r="I205" s="80"/>
      <c r="J205" s="80"/>
      <c r="K205" s="80"/>
      <c r="L205" s="81"/>
    </row>
    <row r="206" spans="2:12" x14ac:dyDescent="0.2">
      <c r="B206" s="81"/>
      <c r="C206" s="81"/>
      <c r="D206" s="81"/>
      <c r="E206" s="81"/>
      <c r="F206" s="81"/>
      <c r="G206" s="81"/>
      <c r="H206" s="81"/>
      <c r="I206" s="80"/>
      <c r="J206" s="80"/>
      <c r="K206" s="80"/>
      <c r="L206" s="81"/>
    </row>
    <row r="207" spans="2:12" x14ac:dyDescent="0.2">
      <c r="B207" s="81"/>
      <c r="C207" s="81"/>
      <c r="D207" s="81"/>
      <c r="E207" s="81"/>
      <c r="F207" s="81"/>
      <c r="G207" s="81"/>
      <c r="H207" s="81"/>
      <c r="I207" s="80"/>
      <c r="J207" s="80"/>
      <c r="K207" s="80"/>
      <c r="L207" s="81"/>
    </row>
    <row r="208" spans="2:12" x14ac:dyDescent="0.2">
      <c r="B208" s="81"/>
      <c r="C208" s="81"/>
      <c r="D208" s="81"/>
      <c r="E208" s="81"/>
      <c r="F208" s="81"/>
      <c r="G208" s="81"/>
      <c r="H208" s="81"/>
      <c r="I208" s="80"/>
      <c r="J208" s="80"/>
      <c r="K208" s="80"/>
      <c r="L208" s="81"/>
    </row>
    <row r="209" spans="2:12" x14ac:dyDescent="0.2">
      <c r="B209" s="81"/>
      <c r="C209" s="81"/>
      <c r="D209" s="81"/>
      <c r="E209" s="81"/>
      <c r="F209" s="81"/>
      <c r="G209" s="81"/>
      <c r="H209" s="81"/>
      <c r="I209" s="80"/>
      <c r="J209" s="80"/>
      <c r="K209" s="80"/>
      <c r="L209" s="81"/>
    </row>
    <row r="210" spans="2:12" x14ac:dyDescent="0.2">
      <c r="B210" s="81"/>
      <c r="C210" s="81"/>
      <c r="D210" s="81"/>
      <c r="E210" s="81"/>
      <c r="F210" s="81"/>
      <c r="G210" s="81"/>
      <c r="H210" s="81"/>
      <c r="I210" s="80"/>
      <c r="J210" s="80"/>
      <c r="K210" s="80"/>
      <c r="L210" s="81"/>
    </row>
    <row r="211" spans="2:12" x14ac:dyDescent="0.2">
      <c r="B211" s="81"/>
      <c r="C211" s="81"/>
      <c r="D211" s="81"/>
      <c r="E211" s="81"/>
      <c r="F211" s="81"/>
      <c r="G211" s="81"/>
      <c r="H211" s="81"/>
      <c r="I211" s="80"/>
      <c r="J211" s="80"/>
      <c r="K211" s="80"/>
      <c r="L211" s="81"/>
    </row>
    <row r="212" spans="2:12" x14ac:dyDescent="0.2">
      <c r="B212" s="81"/>
      <c r="C212" s="81"/>
      <c r="D212" s="81"/>
      <c r="E212" s="81"/>
      <c r="F212" s="81"/>
      <c r="G212" s="81"/>
      <c r="H212" s="81"/>
      <c r="I212" s="80"/>
      <c r="J212" s="80"/>
      <c r="K212" s="80"/>
      <c r="L212" s="81"/>
    </row>
    <row r="213" spans="2:12" x14ac:dyDescent="0.2">
      <c r="B213" s="81"/>
      <c r="C213" s="81"/>
      <c r="D213" s="81"/>
      <c r="E213" s="81"/>
      <c r="F213" s="81"/>
      <c r="G213" s="81"/>
      <c r="H213" s="81"/>
      <c r="I213" s="80"/>
      <c r="J213" s="80"/>
      <c r="K213" s="80"/>
      <c r="L213" s="81"/>
    </row>
    <row r="214" spans="2:12" x14ac:dyDescent="0.2">
      <c r="B214" s="81"/>
      <c r="C214" s="81"/>
      <c r="D214" s="81"/>
      <c r="E214" s="81"/>
      <c r="F214" s="81"/>
      <c r="G214" s="81"/>
      <c r="H214" s="81"/>
      <c r="I214" s="80"/>
      <c r="J214" s="80"/>
      <c r="K214" s="80"/>
      <c r="L214" s="81"/>
    </row>
    <row r="215" spans="2:12" x14ac:dyDescent="0.2">
      <c r="B215" s="81"/>
      <c r="C215" s="81"/>
      <c r="D215" s="81"/>
      <c r="E215" s="81"/>
      <c r="F215" s="81"/>
      <c r="G215" s="81"/>
      <c r="H215" s="81"/>
      <c r="I215" s="80"/>
      <c r="J215" s="80"/>
      <c r="K215" s="80"/>
      <c r="L215" s="81"/>
    </row>
    <row r="216" spans="2:12" x14ac:dyDescent="0.2">
      <c r="B216" s="81"/>
      <c r="C216" s="81"/>
      <c r="D216" s="81"/>
      <c r="E216" s="81"/>
      <c r="F216" s="81"/>
      <c r="G216" s="81"/>
      <c r="H216" s="81"/>
      <c r="I216" s="80"/>
      <c r="J216" s="80"/>
      <c r="K216" s="80"/>
      <c r="L216" s="81"/>
    </row>
    <row r="217" spans="2:12" x14ac:dyDescent="0.2">
      <c r="B217" s="81"/>
      <c r="C217" s="81"/>
      <c r="D217" s="81"/>
      <c r="E217" s="81"/>
      <c r="F217" s="81"/>
      <c r="G217" s="81"/>
      <c r="H217" s="81"/>
      <c r="I217" s="80"/>
      <c r="J217" s="80"/>
      <c r="K217" s="80"/>
      <c r="L217" s="81"/>
    </row>
    <row r="218" spans="2:12" x14ac:dyDescent="0.2">
      <c r="B218" s="81"/>
      <c r="C218" s="81"/>
      <c r="D218" s="81"/>
      <c r="E218" s="81"/>
      <c r="F218" s="81"/>
      <c r="G218" s="81"/>
      <c r="H218" s="81"/>
      <c r="I218" s="80"/>
      <c r="J218" s="80"/>
      <c r="K218" s="80"/>
      <c r="L218" s="81"/>
    </row>
    <row r="219" spans="2:12" x14ac:dyDescent="0.2">
      <c r="B219" s="81"/>
      <c r="C219" s="81"/>
      <c r="D219" s="81"/>
      <c r="E219" s="81"/>
      <c r="F219" s="81"/>
      <c r="G219" s="81"/>
      <c r="H219" s="81"/>
      <c r="I219" s="80"/>
      <c r="J219" s="80"/>
      <c r="K219" s="80"/>
      <c r="L219" s="81"/>
    </row>
    <row r="220" spans="2:12" x14ac:dyDescent="0.2">
      <c r="B220" s="81"/>
      <c r="C220" s="81"/>
      <c r="D220" s="81"/>
      <c r="E220" s="81"/>
      <c r="F220" s="81"/>
      <c r="G220" s="81"/>
      <c r="H220" s="81"/>
      <c r="I220" s="80"/>
      <c r="J220" s="80"/>
      <c r="K220" s="80"/>
      <c r="L220" s="81"/>
    </row>
    <row r="221" spans="2:12" x14ac:dyDescent="0.2">
      <c r="B221" s="81"/>
      <c r="C221" s="81"/>
      <c r="D221" s="81"/>
      <c r="E221" s="81"/>
      <c r="F221" s="81"/>
      <c r="G221" s="81"/>
      <c r="H221" s="81"/>
      <c r="I221" s="80"/>
      <c r="J221" s="80"/>
      <c r="K221" s="80"/>
      <c r="L221" s="81"/>
    </row>
    <row r="222" spans="2:12" x14ac:dyDescent="0.2">
      <c r="B222" s="81"/>
      <c r="C222" s="81"/>
      <c r="D222" s="81"/>
      <c r="E222" s="81"/>
      <c r="F222" s="81"/>
      <c r="G222" s="81"/>
      <c r="H222" s="81"/>
      <c r="I222" s="80"/>
      <c r="J222" s="80"/>
      <c r="K222" s="80"/>
      <c r="L222" s="81"/>
    </row>
    <row r="223" spans="2:12" x14ac:dyDescent="0.2">
      <c r="B223" s="81"/>
      <c r="C223" s="81"/>
      <c r="D223" s="81"/>
      <c r="E223" s="81"/>
      <c r="F223" s="81"/>
      <c r="G223" s="81"/>
      <c r="H223" s="81"/>
      <c r="I223" s="80"/>
      <c r="J223" s="80"/>
      <c r="K223" s="80"/>
      <c r="L223" s="81"/>
    </row>
    <row r="224" spans="2:12" x14ac:dyDescent="0.2">
      <c r="B224" s="81"/>
      <c r="C224" s="81"/>
      <c r="D224" s="81"/>
      <c r="E224" s="81"/>
      <c r="F224" s="81"/>
      <c r="G224" s="81"/>
      <c r="H224" s="81"/>
      <c r="I224" s="80"/>
      <c r="J224" s="80"/>
      <c r="K224" s="80"/>
      <c r="L224" s="81"/>
    </row>
    <row r="225" spans="2:12" x14ac:dyDescent="0.2">
      <c r="B225" s="81"/>
      <c r="C225" s="81"/>
      <c r="D225" s="81"/>
      <c r="E225" s="81"/>
      <c r="F225" s="81"/>
      <c r="G225" s="81"/>
      <c r="H225" s="81"/>
      <c r="I225" s="80"/>
      <c r="J225" s="80"/>
      <c r="K225" s="80"/>
      <c r="L225" s="81"/>
    </row>
    <row r="226" spans="2:12" x14ac:dyDescent="0.2">
      <c r="B226" s="81"/>
      <c r="C226" s="81"/>
      <c r="D226" s="81"/>
      <c r="E226" s="81"/>
      <c r="F226" s="81"/>
      <c r="G226" s="81"/>
      <c r="H226" s="81"/>
      <c r="I226" s="80"/>
      <c r="J226" s="80"/>
      <c r="K226" s="80"/>
      <c r="L226" s="81"/>
    </row>
    <row r="227" spans="2:12" x14ac:dyDescent="0.2">
      <c r="B227" s="81"/>
      <c r="C227" s="81"/>
      <c r="D227" s="81"/>
      <c r="E227" s="81"/>
      <c r="F227" s="81"/>
      <c r="G227" s="81"/>
      <c r="H227" s="81"/>
      <c r="I227" s="80"/>
      <c r="J227" s="80"/>
      <c r="K227" s="80"/>
      <c r="L227" s="81"/>
    </row>
    <row r="228" spans="2:12" x14ac:dyDescent="0.2">
      <c r="B228" s="81"/>
      <c r="C228" s="81"/>
      <c r="D228" s="81"/>
      <c r="E228" s="81"/>
      <c r="F228" s="81"/>
      <c r="G228" s="81"/>
      <c r="H228" s="81"/>
      <c r="I228" s="80"/>
      <c r="J228" s="80"/>
      <c r="K228" s="80"/>
      <c r="L228" s="81"/>
    </row>
    <row r="229" spans="2:12" x14ac:dyDescent="0.2">
      <c r="B229" s="81"/>
      <c r="C229" s="81"/>
      <c r="D229" s="81"/>
      <c r="E229" s="81"/>
      <c r="F229" s="81"/>
      <c r="G229" s="81"/>
      <c r="H229" s="81"/>
      <c r="I229" s="80"/>
      <c r="J229" s="80"/>
      <c r="K229" s="80"/>
      <c r="L229" s="81"/>
    </row>
    <row r="230" spans="2:12" x14ac:dyDescent="0.2">
      <c r="B230" s="81"/>
      <c r="C230" s="81"/>
      <c r="D230" s="81"/>
      <c r="E230" s="81"/>
      <c r="F230" s="81"/>
      <c r="G230" s="81"/>
      <c r="H230" s="81"/>
      <c r="I230" s="80"/>
      <c r="J230" s="80"/>
      <c r="K230" s="80"/>
      <c r="L230" s="81"/>
    </row>
    <row r="231" spans="2:12" x14ac:dyDescent="0.2">
      <c r="B231" s="81"/>
      <c r="C231" s="81"/>
      <c r="D231" s="81"/>
      <c r="E231" s="81"/>
      <c r="F231" s="81"/>
      <c r="G231" s="81"/>
      <c r="H231" s="81"/>
      <c r="I231" s="80"/>
      <c r="J231" s="80"/>
      <c r="K231" s="80"/>
      <c r="L231" s="81"/>
    </row>
    <row r="232" spans="2:12" x14ac:dyDescent="0.2">
      <c r="B232" s="81"/>
      <c r="C232" s="81"/>
      <c r="D232" s="81"/>
      <c r="E232" s="81"/>
      <c r="F232" s="81"/>
      <c r="G232" s="81"/>
      <c r="H232" s="81"/>
      <c r="I232" s="80"/>
      <c r="J232" s="80"/>
      <c r="K232" s="80"/>
      <c r="L232" s="81"/>
    </row>
    <row r="233" spans="2:12" x14ac:dyDescent="0.2">
      <c r="B233" s="81"/>
      <c r="C233" s="81"/>
      <c r="D233" s="81"/>
      <c r="E233" s="81"/>
      <c r="F233" s="81"/>
      <c r="G233" s="81"/>
      <c r="H233" s="81"/>
      <c r="I233" s="80"/>
      <c r="J233" s="80"/>
      <c r="K233" s="80"/>
      <c r="L233" s="81"/>
    </row>
    <row r="234" spans="2:12" x14ac:dyDescent="0.2">
      <c r="B234" s="81"/>
      <c r="C234" s="81"/>
      <c r="D234" s="81"/>
      <c r="E234" s="81"/>
      <c r="F234" s="81"/>
      <c r="G234" s="81"/>
      <c r="H234" s="81"/>
      <c r="I234" s="80"/>
      <c r="J234" s="80"/>
      <c r="K234" s="80"/>
      <c r="L234" s="81"/>
    </row>
    <row r="235" spans="2:12" x14ac:dyDescent="0.2">
      <c r="B235" s="81"/>
      <c r="C235" s="81"/>
      <c r="D235" s="81"/>
      <c r="E235" s="81"/>
      <c r="F235" s="81"/>
      <c r="G235" s="81"/>
      <c r="H235" s="81"/>
      <c r="I235" s="80"/>
      <c r="J235" s="80"/>
      <c r="K235" s="80"/>
      <c r="L235" s="81"/>
    </row>
    <row r="236" spans="2:12" x14ac:dyDescent="0.2">
      <c r="B236" s="81"/>
      <c r="C236" s="81"/>
      <c r="D236" s="81"/>
      <c r="E236" s="81"/>
      <c r="F236" s="81"/>
      <c r="G236" s="81"/>
      <c r="H236" s="81"/>
      <c r="I236" s="80"/>
      <c r="J236" s="80"/>
      <c r="K236" s="80"/>
      <c r="L236" s="81"/>
    </row>
    <row r="237" spans="2:12" x14ac:dyDescent="0.2">
      <c r="B237" s="81"/>
      <c r="C237" s="81"/>
      <c r="D237" s="81"/>
      <c r="E237" s="81"/>
      <c r="F237" s="81"/>
      <c r="G237" s="81"/>
      <c r="H237" s="81"/>
      <c r="I237" s="80"/>
      <c r="J237" s="80"/>
      <c r="K237" s="80"/>
      <c r="L237" s="81"/>
    </row>
    <row r="238" spans="2:12" x14ac:dyDescent="0.2">
      <c r="B238" s="81"/>
      <c r="C238" s="81"/>
      <c r="D238" s="81"/>
      <c r="E238" s="81"/>
      <c r="F238" s="81"/>
      <c r="G238" s="81"/>
      <c r="H238" s="81"/>
      <c r="I238" s="80"/>
      <c r="J238" s="80"/>
      <c r="K238" s="80"/>
      <c r="L238" s="81"/>
    </row>
    <row r="239" spans="2:12" x14ac:dyDescent="0.2">
      <c r="B239" s="81"/>
      <c r="C239" s="81"/>
      <c r="D239" s="81"/>
      <c r="E239" s="81"/>
      <c r="F239" s="81"/>
      <c r="G239" s="81"/>
      <c r="H239" s="81"/>
      <c r="I239" s="80"/>
      <c r="J239" s="80"/>
      <c r="K239" s="80"/>
      <c r="L239" s="81"/>
    </row>
    <row r="240" spans="2:12" x14ac:dyDescent="0.2">
      <c r="B240" s="81"/>
      <c r="C240" s="81"/>
      <c r="D240" s="81"/>
      <c r="E240" s="81"/>
      <c r="F240" s="81"/>
      <c r="G240" s="81"/>
      <c r="H240" s="81"/>
      <c r="I240" s="80"/>
      <c r="J240" s="80"/>
      <c r="K240" s="80"/>
      <c r="L240" s="81"/>
    </row>
    <row r="241" spans="2:12" x14ac:dyDescent="0.2">
      <c r="B241" s="81"/>
      <c r="C241" s="81"/>
      <c r="D241" s="81"/>
      <c r="E241" s="81"/>
      <c r="F241" s="81"/>
      <c r="G241" s="81"/>
      <c r="H241" s="81"/>
      <c r="I241" s="80"/>
      <c r="J241" s="80"/>
      <c r="K241" s="80"/>
      <c r="L241" s="81"/>
    </row>
    <row r="242" spans="2:12" x14ac:dyDescent="0.2">
      <c r="B242" s="81"/>
      <c r="C242" s="81"/>
      <c r="D242" s="81"/>
      <c r="E242" s="81"/>
      <c r="F242" s="81"/>
      <c r="G242" s="81"/>
      <c r="H242" s="81"/>
      <c r="I242" s="80"/>
      <c r="J242" s="80"/>
      <c r="K242" s="80"/>
      <c r="L242" s="81"/>
    </row>
    <row r="243" spans="2:12" x14ac:dyDescent="0.2">
      <c r="B243" s="81"/>
      <c r="C243" s="81"/>
      <c r="D243" s="81"/>
      <c r="E243" s="81"/>
      <c r="F243" s="81"/>
      <c r="G243" s="81"/>
      <c r="H243" s="81"/>
      <c r="I243" s="80"/>
      <c r="J243" s="80"/>
      <c r="K243" s="80"/>
      <c r="L243" s="81"/>
    </row>
    <row r="244" spans="2:12" x14ac:dyDescent="0.2">
      <c r="B244" s="81"/>
      <c r="C244" s="81"/>
      <c r="D244" s="81"/>
      <c r="E244" s="81"/>
      <c r="F244" s="81"/>
      <c r="G244" s="81"/>
      <c r="H244" s="81"/>
      <c r="I244" s="80"/>
      <c r="J244" s="80"/>
      <c r="K244" s="80"/>
      <c r="L244" s="81"/>
    </row>
    <row r="245" spans="2:12" x14ac:dyDescent="0.2">
      <c r="B245" s="81"/>
      <c r="C245" s="81"/>
      <c r="D245" s="81"/>
      <c r="E245" s="81"/>
      <c r="F245" s="81"/>
      <c r="G245" s="81"/>
      <c r="H245" s="81"/>
      <c r="I245" s="80"/>
      <c r="J245" s="80"/>
      <c r="K245" s="80"/>
      <c r="L245" s="81"/>
    </row>
    <row r="246" spans="2:12" x14ac:dyDescent="0.2">
      <c r="B246" s="81"/>
      <c r="C246" s="81"/>
      <c r="D246" s="81"/>
      <c r="E246" s="81"/>
      <c r="F246" s="81"/>
      <c r="G246" s="81"/>
      <c r="H246" s="81"/>
      <c r="I246" s="80"/>
      <c r="J246" s="80"/>
      <c r="K246" s="80"/>
      <c r="L246" s="81"/>
    </row>
    <row r="247" spans="2:12" x14ac:dyDescent="0.2">
      <c r="B247" s="81"/>
      <c r="C247" s="81"/>
      <c r="D247" s="81"/>
      <c r="E247" s="81"/>
      <c r="F247" s="81"/>
      <c r="G247" s="81"/>
      <c r="H247" s="81"/>
      <c r="I247" s="80"/>
      <c r="J247" s="80"/>
      <c r="K247" s="80"/>
      <c r="L247" s="81"/>
    </row>
    <row r="248" spans="2:12" x14ac:dyDescent="0.2">
      <c r="B248" s="81"/>
      <c r="C248" s="81"/>
      <c r="D248" s="81"/>
      <c r="E248" s="81"/>
      <c r="F248" s="81"/>
      <c r="G248" s="81"/>
      <c r="H248" s="81"/>
      <c r="I248" s="80"/>
      <c r="J248" s="80"/>
      <c r="K248" s="80"/>
      <c r="L248" s="81"/>
    </row>
    <row r="249" spans="2:12" x14ac:dyDescent="0.2">
      <c r="B249" s="81"/>
      <c r="C249" s="81"/>
      <c r="D249" s="81"/>
      <c r="E249" s="81"/>
      <c r="F249" s="81"/>
      <c r="G249" s="81"/>
      <c r="H249" s="81"/>
      <c r="I249" s="80"/>
      <c r="J249" s="80"/>
      <c r="K249" s="80"/>
      <c r="L249" s="81"/>
    </row>
    <row r="250" spans="2:12" x14ac:dyDescent="0.2">
      <c r="B250" s="81"/>
      <c r="C250" s="81"/>
      <c r="D250" s="81"/>
      <c r="E250" s="81"/>
      <c r="F250" s="81"/>
      <c r="G250" s="81"/>
      <c r="H250" s="81"/>
      <c r="I250" s="80"/>
      <c r="J250" s="80"/>
      <c r="K250" s="80"/>
      <c r="L250" s="81"/>
    </row>
    <row r="251" spans="2:12" x14ac:dyDescent="0.2">
      <c r="B251" s="81"/>
      <c r="C251" s="81"/>
      <c r="D251" s="81"/>
      <c r="E251" s="81"/>
      <c r="F251" s="81"/>
      <c r="G251" s="81"/>
      <c r="H251" s="81"/>
      <c r="I251" s="80"/>
      <c r="J251" s="80"/>
      <c r="K251" s="80"/>
      <c r="L251" s="81"/>
    </row>
    <row r="252" spans="2:12" x14ac:dyDescent="0.2">
      <c r="B252" s="81"/>
      <c r="C252" s="81"/>
      <c r="D252" s="81"/>
      <c r="E252" s="81"/>
      <c r="F252" s="81"/>
      <c r="G252" s="81"/>
      <c r="H252" s="81"/>
      <c r="I252" s="80"/>
      <c r="J252" s="80"/>
      <c r="K252" s="80"/>
      <c r="L252" s="81"/>
    </row>
    <row r="253" spans="2:12" x14ac:dyDescent="0.2">
      <c r="B253" s="81"/>
      <c r="C253" s="81"/>
      <c r="D253" s="81"/>
      <c r="E253" s="81"/>
      <c r="F253" s="81"/>
      <c r="G253" s="81"/>
      <c r="H253" s="81"/>
      <c r="I253" s="80"/>
      <c r="J253" s="80"/>
      <c r="K253" s="80"/>
      <c r="L253" s="81"/>
    </row>
    <row r="254" spans="2:12" x14ac:dyDescent="0.2">
      <c r="B254" s="81"/>
      <c r="C254" s="81"/>
      <c r="D254" s="81"/>
      <c r="E254" s="81"/>
      <c r="F254" s="81"/>
      <c r="G254" s="81"/>
      <c r="H254" s="81"/>
      <c r="I254" s="80"/>
      <c r="J254" s="80"/>
      <c r="K254" s="80"/>
      <c r="L254" s="81"/>
    </row>
    <row r="255" spans="2:12" x14ac:dyDescent="0.2">
      <c r="B255" s="81"/>
      <c r="C255" s="81"/>
      <c r="D255" s="81"/>
      <c r="E255" s="81"/>
      <c r="F255" s="81"/>
      <c r="G255" s="81"/>
      <c r="H255" s="81"/>
      <c r="I255" s="80"/>
      <c r="J255" s="80"/>
      <c r="K255" s="80"/>
      <c r="L255" s="81"/>
    </row>
    <row r="256" spans="2:12" x14ac:dyDescent="0.2">
      <c r="B256" s="81"/>
      <c r="C256" s="81"/>
      <c r="D256" s="81"/>
      <c r="E256" s="81"/>
      <c r="F256" s="81"/>
      <c r="G256" s="81"/>
      <c r="H256" s="81"/>
      <c r="I256" s="80"/>
      <c r="J256" s="80"/>
      <c r="K256" s="80"/>
      <c r="L256" s="81"/>
    </row>
    <row r="257" spans="2:12" x14ac:dyDescent="0.2">
      <c r="B257" s="81"/>
      <c r="C257" s="81"/>
      <c r="D257" s="81"/>
      <c r="E257" s="81"/>
      <c r="F257" s="81"/>
      <c r="G257" s="81"/>
      <c r="H257" s="81"/>
      <c r="I257" s="80"/>
      <c r="J257" s="80"/>
      <c r="K257" s="80"/>
      <c r="L257" s="81"/>
    </row>
    <row r="258" spans="2:12" x14ac:dyDescent="0.2">
      <c r="B258" s="81"/>
      <c r="C258" s="81"/>
      <c r="D258" s="81"/>
      <c r="E258" s="81"/>
      <c r="F258" s="81"/>
      <c r="G258" s="81"/>
      <c r="H258" s="81"/>
      <c r="I258" s="80"/>
      <c r="J258" s="80"/>
      <c r="K258" s="80"/>
      <c r="L258" s="81"/>
    </row>
    <row r="259" spans="2:12" x14ac:dyDescent="0.2">
      <c r="B259" s="81"/>
      <c r="C259" s="81"/>
      <c r="D259" s="81"/>
      <c r="E259" s="81"/>
      <c r="F259" s="81"/>
      <c r="G259" s="81"/>
      <c r="H259" s="81"/>
      <c r="I259" s="80"/>
      <c r="J259" s="80"/>
      <c r="K259" s="80"/>
      <c r="L259" s="81"/>
    </row>
    <row r="260" spans="2:12" x14ac:dyDescent="0.2">
      <c r="B260" s="81"/>
      <c r="C260" s="81"/>
      <c r="D260" s="81"/>
      <c r="E260" s="81"/>
      <c r="F260" s="81"/>
      <c r="G260" s="81"/>
      <c r="H260" s="81"/>
      <c r="I260" s="80"/>
      <c r="J260" s="80"/>
      <c r="K260" s="80"/>
      <c r="L260" s="81"/>
    </row>
    <row r="261" spans="2:12" x14ac:dyDescent="0.2">
      <c r="B261" s="81"/>
      <c r="C261" s="81"/>
      <c r="D261" s="81"/>
      <c r="E261" s="81"/>
      <c r="F261" s="81"/>
      <c r="G261" s="81"/>
      <c r="H261" s="81"/>
      <c r="I261" s="80"/>
      <c r="J261" s="80"/>
      <c r="K261" s="80"/>
      <c r="L261" s="81"/>
    </row>
    <row r="262" spans="2:12" x14ac:dyDescent="0.2">
      <c r="B262" s="81"/>
      <c r="C262" s="81"/>
      <c r="D262" s="81"/>
      <c r="E262" s="81"/>
      <c r="F262" s="81"/>
      <c r="G262" s="81"/>
      <c r="H262" s="81"/>
      <c r="I262" s="80"/>
      <c r="J262" s="80"/>
      <c r="K262" s="80"/>
      <c r="L262" s="81"/>
    </row>
    <row r="263" spans="2:12" x14ac:dyDescent="0.2">
      <c r="B263" s="81"/>
      <c r="C263" s="81"/>
      <c r="D263" s="81"/>
      <c r="E263" s="81"/>
      <c r="F263" s="81"/>
      <c r="G263" s="81"/>
      <c r="H263" s="81"/>
      <c r="I263" s="80"/>
      <c r="J263" s="80"/>
      <c r="K263" s="80"/>
      <c r="L263" s="81"/>
    </row>
    <row r="264" spans="2:12" x14ac:dyDescent="0.2">
      <c r="B264" s="81"/>
      <c r="C264" s="81"/>
      <c r="D264" s="81"/>
      <c r="E264" s="81"/>
      <c r="F264" s="81"/>
      <c r="G264" s="81"/>
      <c r="H264" s="81"/>
      <c r="I264" s="80"/>
      <c r="J264" s="80"/>
      <c r="K264" s="80"/>
      <c r="L264" s="81"/>
    </row>
    <row r="265" spans="2:12" x14ac:dyDescent="0.2">
      <c r="B265" s="81"/>
      <c r="C265" s="81"/>
      <c r="D265" s="81"/>
      <c r="E265" s="81"/>
      <c r="F265" s="81"/>
      <c r="G265" s="81"/>
      <c r="H265" s="81"/>
      <c r="I265" s="80"/>
      <c r="J265" s="80"/>
      <c r="K265" s="80"/>
      <c r="L265" s="81"/>
    </row>
    <row r="266" spans="2:12" x14ac:dyDescent="0.2">
      <c r="B266" s="81"/>
      <c r="C266" s="81"/>
      <c r="D266" s="81"/>
      <c r="E266" s="81"/>
      <c r="F266" s="81"/>
      <c r="G266" s="81"/>
      <c r="H266" s="81"/>
      <c r="I266" s="80"/>
      <c r="J266" s="80"/>
      <c r="K266" s="80"/>
      <c r="L266" s="81"/>
    </row>
    <row r="267" spans="2:12" x14ac:dyDescent="0.2">
      <c r="B267" s="81"/>
      <c r="C267" s="81"/>
      <c r="D267" s="81"/>
      <c r="E267" s="81"/>
      <c r="F267" s="81"/>
      <c r="G267" s="81"/>
      <c r="H267" s="81"/>
      <c r="I267" s="80"/>
      <c r="J267" s="80"/>
      <c r="K267" s="80"/>
      <c r="L267" s="81"/>
    </row>
    <row r="268" spans="2:12" x14ac:dyDescent="0.2">
      <c r="B268" s="81"/>
      <c r="C268" s="81"/>
      <c r="D268" s="81"/>
      <c r="E268" s="81"/>
      <c r="F268" s="81"/>
      <c r="G268" s="81"/>
      <c r="H268" s="81"/>
      <c r="I268" s="80"/>
      <c r="J268" s="80"/>
      <c r="K268" s="80"/>
      <c r="L268" s="81"/>
    </row>
    <row r="269" spans="2:12" x14ac:dyDescent="0.2">
      <c r="B269" s="81"/>
      <c r="C269" s="81"/>
      <c r="D269" s="81"/>
      <c r="E269" s="81"/>
      <c r="F269" s="81"/>
      <c r="G269" s="81"/>
      <c r="H269" s="81"/>
      <c r="I269" s="80"/>
      <c r="J269" s="80"/>
      <c r="K269" s="80"/>
      <c r="L269" s="81"/>
    </row>
    <row r="270" spans="2:12" x14ac:dyDescent="0.2">
      <c r="B270" s="81"/>
      <c r="C270" s="81"/>
      <c r="D270" s="81"/>
      <c r="E270" s="81"/>
      <c r="F270" s="81"/>
      <c r="G270" s="81"/>
      <c r="H270" s="81"/>
      <c r="I270" s="80"/>
      <c r="J270" s="80"/>
      <c r="K270" s="80"/>
      <c r="L270" s="81"/>
    </row>
    <row r="271" spans="2:12" x14ac:dyDescent="0.2">
      <c r="B271" s="81"/>
      <c r="C271" s="81"/>
      <c r="D271" s="81"/>
      <c r="E271" s="81"/>
      <c r="F271" s="81"/>
      <c r="G271" s="81"/>
      <c r="H271" s="81"/>
      <c r="I271" s="80"/>
      <c r="J271" s="80"/>
      <c r="K271" s="80"/>
      <c r="L271" s="81"/>
    </row>
    <row r="272" spans="2:12" x14ac:dyDescent="0.2">
      <c r="B272" s="81"/>
      <c r="C272" s="81"/>
      <c r="D272" s="81"/>
      <c r="E272" s="81"/>
      <c r="F272" s="81"/>
      <c r="G272" s="81"/>
      <c r="H272" s="81"/>
      <c r="I272" s="80"/>
      <c r="J272" s="80"/>
      <c r="K272" s="80"/>
      <c r="L272" s="81"/>
    </row>
    <row r="273" spans="2:12" x14ac:dyDescent="0.2">
      <c r="B273" s="81"/>
      <c r="C273" s="81"/>
      <c r="D273" s="81"/>
      <c r="E273" s="81"/>
      <c r="F273" s="81"/>
      <c r="G273" s="81"/>
      <c r="H273" s="81"/>
      <c r="I273" s="80"/>
      <c r="J273" s="80"/>
      <c r="K273" s="80"/>
      <c r="L273" s="81"/>
    </row>
    <row r="274" spans="2:12" x14ac:dyDescent="0.2">
      <c r="B274" s="81"/>
      <c r="C274" s="81"/>
      <c r="D274" s="81"/>
      <c r="E274" s="81"/>
      <c r="F274" s="81"/>
      <c r="G274" s="81"/>
      <c r="H274" s="81"/>
      <c r="I274" s="80"/>
      <c r="J274" s="80"/>
      <c r="K274" s="80"/>
      <c r="L274" s="81"/>
    </row>
    <row r="275" spans="2:12" x14ac:dyDescent="0.2">
      <c r="B275" s="81"/>
      <c r="C275" s="81"/>
      <c r="D275" s="81"/>
      <c r="E275" s="81"/>
      <c r="F275" s="81"/>
      <c r="G275" s="81"/>
      <c r="H275" s="81"/>
      <c r="I275" s="80"/>
      <c r="J275" s="80"/>
      <c r="K275" s="80"/>
      <c r="L275" s="81"/>
    </row>
    <row r="276" spans="2:12" x14ac:dyDescent="0.2">
      <c r="B276" s="81"/>
      <c r="C276" s="81"/>
      <c r="D276" s="81"/>
      <c r="E276" s="81"/>
      <c r="F276" s="81"/>
      <c r="G276" s="81"/>
      <c r="H276" s="81"/>
      <c r="I276" s="80"/>
      <c r="J276" s="80"/>
      <c r="K276" s="80"/>
      <c r="L276" s="81"/>
    </row>
    <row r="277" spans="2:12" x14ac:dyDescent="0.2">
      <c r="B277" s="81"/>
      <c r="C277" s="81"/>
      <c r="D277" s="81"/>
      <c r="E277" s="81"/>
      <c r="F277" s="81"/>
      <c r="G277" s="81"/>
      <c r="H277" s="81"/>
      <c r="I277" s="80"/>
      <c r="J277" s="80"/>
      <c r="K277" s="80"/>
      <c r="L277" s="81"/>
    </row>
    <row r="278" spans="2:12" x14ac:dyDescent="0.2">
      <c r="B278" s="81"/>
      <c r="C278" s="81"/>
      <c r="D278" s="81"/>
      <c r="E278" s="81"/>
      <c r="F278" s="81"/>
      <c r="G278" s="81"/>
      <c r="H278" s="81"/>
      <c r="I278" s="80"/>
      <c r="J278" s="80"/>
      <c r="K278" s="80"/>
      <c r="L278" s="81"/>
    </row>
    <row r="279" spans="2:12" x14ac:dyDescent="0.2">
      <c r="B279" s="81"/>
      <c r="C279" s="81"/>
      <c r="D279" s="81"/>
      <c r="E279" s="81"/>
      <c r="F279" s="81"/>
      <c r="G279" s="81"/>
      <c r="H279" s="81"/>
      <c r="I279" s="80"/>
      <c r="J279" s="80"/>
      <c r="K279" s="80"/>
      <c r="L279" s="81"/>
    </row>
    <row r="280" spans="2:12" x14ac:dyDescent="0.2">
      <c r="B280" s="81"/>
      <c r="C280" s="81"/>
      <c r="D280" s="81"/>
      <c r="E280" s="81"/>
      <c r="F280" s="81"/>
      <c r="G280" s="81"/>
      <c r="H280" s="81"/>
      <c r="I280" s="80"/>
      <c r="J280" s="80"/>
      <c r="K280" s="80"/>
      <c r="L280" s="81"/>
    </row>
    <row r="281" spans="2:12" x14ac:dyDescent="0.2">
      <c r="B281" s="81"/>
      <c r="C281" s="81"/>
      <c r="D281" s="81"/>
      <c r="E281" s="81"/>
      <c r="F281" s="81"/>
      <c r="G281" s="81"/>
      <c r="H281" s="81"/>
      <c r="I281" s="80"/>
      <c r="J281" s="80"/>
      <c r="K281" s="80"/>
      <c r="L281" s="81"/>
    </row>
    <row r="282" spans="2:12" x14ac:dyDescent="0.2">
      <c r="B282" s="81"/>
      <c r="C282" s="81"/>
      <c r="D282" s="81"/>
      <c r="E282" s="81"/>
      <c r="F282" s="81"/>
      <c r="G282" s="81"/>
      <c r="H282" s="81"/>
      <c r="I282" s="80"/>
      <c r="J282" s="80"/>
      <c r="K282" s="80"/>
      <c r="L282" s="81"/>
    </row>
    <row r="283" spans="2:12" x14ac:dyDescent="0.2">
      <c r="B283" s="81"/>
      <c r="C283" s="81"/>
      <c r="D283" s="81"/>
      <c r="E283" s="81"/>
      <c r="F283" s="81"/>
      <c r="G283" s="81"/>
      <c r="H283" s="81"/>
      <c r="I283" s="80"/>
      <c r="J283" s="80"/>
      <c r="K283" s="80"/>
      <c r="L283" s="81"/>
    </row>
    <row r="284" spans="2:12" x14ac:dyDescent="0.2">
      <c r="B284" s="81"/>
      <c r="C284" s="81"/>
      <c r="D284" s="81"/>
      <c r="E284" s="81"/>
      <c r="F284" s="81"/>
      <c r="G284" s="81"/>
      <c r="H284" s="81"/>
      <c r="I284" s="80"/>
      <c r="J284" s="80"/>
      <c r="K284" s="80"/>
      <c r="L284" s="81"/>
    </row>
    <row r="285" spans="2:12" x14ac:dyDescent="0.2">
      <c r="B285" s="81"/>
      <c r="C285" s="81"/>
      <c r="D285" s="81"/>
      <c r="E285" s="81"/>
      <c r="F285" s="81"/>
      <c r="G285" s="81"/>
      <c r="H285" s="81"/>
      <c r="I285" s="80"/>
      <c r="J285" s="80"/>
      <c r="K285" s="80"/>
      <c r="L285" s="81"/>
    </row>
    <row r="286" spans="2:12" x14ac:dyDescent="0.2">
      <c r="B286" s="81"/>
      <c r="C286" s="81"/>
      <c r="D286" s="81"/>
      <c r="E286" s="81"/>
      <c r="F286" s="81"/>
      <c r="G286" s="81"/>
      <c r="H286" s="81"/>
      <c r="I286" s="80"/>
      <c r="J286" s="80"/>
      <c r="K286" s="80"/>
      <c r="L286" s="81"/>
    </row>
    <row r="287" spans="2:12" x14ac:dyDescent="0.2">
      <c r="B287" s="81"/>
      <c r="C287" s="81"/>
      <c r="D287" s="81"/>
      <c r="E287" s="81"/>
      <c r="F287" s="81"/>
      <c r="G287" s="81"/>
      <c r="H287" s="81"/>
      <c r="I287" s="80"/>
      <c r="J287" s="80"/>
      <c r="K287" s="80"/>
      <c r="L287" s="81"/>
    </row>
    <row r="288" spans="2:12" x14ac:dyDescent="0.2">
      <c r="B288" s="81"/>
      <c r="C288" s="81"/>
      <c r="D288" s="81"/>
      <c r="E288" s="81"/>
      <c r="F288" s="81"/>
      <c r="G288" s="81"/>
      <c r="H288" s="81"/>
      <c r="I288" s="80"/>
      <c r="J288" s="80"/>
      <c r="K288" s="80"/>
      <c r="L288" s="81"/>
    </row>
    <row r="289" spans="2:12" x14ac:dyDescent="0.2">
      <c r="B289" s="81"/>
      <c r="C289" s="81"/>
      <c r="D289" s="81"/>
      <c r="E289" s="81"/>
      <c r="F289" s="81"/>
      <c r="G289" s="81"/>
      <c r="H289" s="81"/>
      <c r="I289" s="80"/>
      <c r="J289" s="80"/>
      <c r="K289" s="80"/>
      <c r="L289" s="81"/>
    </row>
    <row r="290" spans="2:12" x14ac:dyDescent="0.2">
      <c r="B290" s="81"/>
      <c r="C290" s="81"/>
      <c r="D290" s="81"/>
      <c r="E290" s="81"/>
      <c r="F290" s="81"/>
      <c r="G290" s="81"/>
      <c r="H290" s="81"/>
      <c r="I290" s="80"/>
      <c r="J290" s="80"/>
      <c r="K290" s="80"/>
      <c r="L290" s="81"/>
    </row>
    <row r="291" spans="2:12" x14ac:dyDescent="0.2">
      <c r="B291" s="81"/>
      <c r="C291" s="81"/>
      <c r="D291" s="81"/>
      <c r="E291" s="81"/>
      <c r="F291" s="81"/>
      <c r="G291" s="81"/>
      <c r="H291" s="81"/>
      <c r="I291" s="80"/>
      <c r="J291" s="80"/>
      <c r="K291" s="80"/>
      <c r="L291" s="81"/>
    </row>
    <row r="292" spans="2:12" x14ac:dyDescent="0.2">
      <c r="B292" s="81"/>
      <c r="C292" s="81"/>
      <c r="D292" s="81"/>
      <c r="E292" s="81"/>
      <c r="F292" s="81"/>
      <c r="G292" s="81"/>
      <c r="H292" s="81"/>
      <c r="I292" s="80"/>
      <c r="J292" s="80"/>
      <c r="K292" s="80"/>
      <c r="L292" s="81"/>
    </row>
    <row r="293" spans="2:12" x14ac:dyDescent="0.2">
      <c r="B293" s="81"/>
      <c r="C293" s="81"/>
      <c r="D293" s="81"/>
      <c r="E293" s="81"/>
      <c r="F293" s="81"/>
      <c r="G293" s="81"/>
      <c r="H293" s="81"/>
      <c r="I293" s="80"/>
      <c r="J293" s="80"/>
      <c r="K293" s="80"/>
      <c r="L293" s="81"/>
    </row>
    <row r="294" spans="2:12" x14ac:dyDescent="0.2">
      <c r="B294" s="81"/>
      <c r="C294" s="81"/>
      <c r="D294" s="81"/>
      <c r="E294" s="81"/>
      <c r="F294" s="81"/>
      <c r="G294" s="81"/>
      <c r="H294" s="81"/>
      <c r="I294" s="80"/>
      <c r="J294" s="80"/>
      <c r="K294" s="80"/>
      <c r="L294" s="81"/>
    </row>
    <row r="295" spans="2:12" x14ac:dyDescent="0.2">
      <c r="B295" s="81"/>
      <c r="C295" s="81"/>
      <c r="D295" s="81"/>
      <c r="E295" s="81"/>
      <c r="F295" s="81"/>
      <c r="G295" s="81"/>
      <c r="H295" s="81"/>
      <c r="I295" s="80"/>
      <c r="J295" s="80"/>
      <c r="K295" s="80"/>
      <c r="L295" s="81"/>
    </row>
    <row r="296" spans="2:12" x14ac:dyDescent="0.2">
      <c r="B296" s="81"/>
      <c r="C296" s="81"/>
      <c r="D296" s="81"/>
      <c r="E296" s="81"/>
      <c r="F296" s="81"/>
      <c r="G296" s="81"/>
      <c r="H296" s="81"/>
      <c r="I296" s="80"/>
      <c r="J296" s="80"/>
      <c r="K296" s="80"/>
      <c r="L296" s="81"/>
    </row>
    <row r="297" spans="2:12" x14ac:dyDescent="0.2">
      <c r="B297" s="81"/>
      <c r="C297" s="81"/>
      <c r="D297" s="81"/>
      <c r="E297" s="81"/>
      <c r="F297" s="81"/>
      <c r="G297" s="81"/>
      <c r="H297" s="81"/>
      <c r="I297" s="80"/>
      <c r="J297" s="80"/>
      <c r="K297" s="80"/>
      <c r="L297" s="81"/>
    </row>
    <row r="298" spans="2:12" x14ac:dyDescent="0.2">
      <c r="B298" s="81"/>
      <c r="C298" s="81"/>
      <c r="D298" s="81"/>
      <c r="E298" s="81"/>
      <c r="F298" s="81"/>
      <c r="G298" s="81"/>
      <c r="H298" s="81"/>
      <c r="I298" s="80"/>
      <c r="J298" s="80"/>
      <c r="K298" s="80"/>
      <c r="L298" s="81"/>
    </row>
    <row r="299" spans="2:12" x14ac:dyDescent="0.2">
      <c r="B299" s="81"/>
      <c r="C299" s="81"/>
      <c r="D299" s="81"/>
      <c r="E299" s="81"/>
      <c r="F299" s="81"/>
      <c r="G299" s="81"/>
      <c r="H299" s="81"/>
      <c r="I299" s="80"/>
      <c r="J299" s="80"/>
      <c r="K299" s="80"/>
      <c r="L299" s="81"/>
    </row>
    <row r="300" spans="2:12" x14ac:dyDescent="0.2">
      <c r="B300" s="81"/>
      <c r="C300" s="81"/>
      <c r="D300" s="81"/>
      <c r="E300" s="81"/>
      <c r="F300" s="81"/>
      <c r="G300" s="81"/>
      <c r="H300" s="81"/>
      <c r="I300" s="80"/>
      <c r="J300" s="80"/>
      <c r="K300" s="80"/>
      <c r="L300" s="81"/>
    </row>
    <row r="301" spans="2:12" x14ac:dyDescent="0.2">
      <c r="B301" s="81"/>
      <c r="C301" s="81"/>
      <c r="D301" s="81"/>
      <c r="E301" s="81"/>
      <c r="F301" s="81"/>
      <c r="G301" s="81"/>
      <c r="H301" s="81"/>
      <c r="I301" s="80"/>
      <c r="J301" s="80"/>
      <c r="K301" s="80"/>
      <c r="L301" s="81"/>
    </row>
    <row r="302" spans="2:12" x14ac:dyDescent="0.2">
      <c r="B302" s="81"/>
      <c r="C302" s="81"/>
      <c r="D302" s="81"/>
      <c r="E302" s="81"/>
      <c r="F302" s="81"/>
      <c r="G302" s="81"/>
      <c r="H302" s="81"/>
      <c r="I302" s="80"/>
      <c r="J302" s="80"/>
      <c r="K302" s="80"/>
      <c r="L302" s="81"/>
    </row>
    <row r="303" spans="2:12" x14ac:dyDescent="0.2">
      <c r="B303" s="81"/>
      <c r="C303" s="81"/>
      <c r="D303" s="81"/>
      <c r="E303" s="81"/>
      <c r="F303" s="81"/>
      <c r="G303" s="81"/>
      <c r="H303" s="81"/>
      <c r="I303" s="80"/>
      <c r="J303" s="80"/>
      <c r="K303" s="80"/>
      <c r="L303" s="81"/>
    </row>
    <row r="304" spans="2:12" x14ac:dyDescent="0.2">
      <c r="B304" s="81"/>
      <c r="C304" s="81"/>
      <c r="D304" s="81"/>
      <c r="E304" s="81"/>
      <c r="F304" s="81"/>
      <c r="G304" s="81"/>
      <c r="H304" s="81"/>
      <c r="I304" s="80"/>
      <c r="J304" s="80"/>
      <c r="K304" s="80"/>
      <c r="L304" s="81"/>
    </row>
    <row r="305" spans="2:12" x14ac:dyDescent="0.2">
      <c r="B305" s="81"/>
      <c r="C305" s="81"/>
      <c r="D305" s="81"/>
      <c r="E305" s="81"/>
      <c r="F305" s="81"/>
      <c r="G305" s="81"/>
      <c r="H305" s="81"/>
      <c r="I305" s="80"/>
      <c r="J305" s="80"/>
      <c r="K305" s="80"/>
      <c r="L305" s="81"/>
    </row>
    <row r="306" spans="2:12" x14ac:dyDescent="0.2">
      <c r="B306" s="81"/>
      <c r="C306" s="81"/>
      <c r="D306" s="81"/>
      <c r="E306" s="81"/>
      <c r="F306" s="81"/>
      <c r="G306" s="81"/>
      <c r="H306" s="81"/>
      <c r="I306" s="80"/>
      <c r="J306" s="80"/>
      <c r="K306" s="80"/>
      <c r="L306" s="81"/>
    </row>
    <row r="307" spans="2:12" x14ac:dyDescent="0.2">
      <c r="B307" s="81"/>
      <c r="C307" s="81"/>
      <c r="D307" s="81"/>
      <c r="E307" s="81"/>
      <c r="F307" s="81"/>
      <c r="G307" s="81"/>
      <c r="H307" s="81"/>
      <c r="I307" s="80"/>
      <c r="J307" s="80"/>
      <c r="K307" s="80"/>
      <c r="L307" s="81"/>
    </row>
    <row r="308" spans="2:12" x14ac:dyDescent="0.2">
      <c r="B308" s="81"/>
      <c r="C308" s="81"/>
      <c r="D308" s="81"/>
      <c r="E308" s="81"/>
      <c r="F308" s="81"/>
      <c r="G308" s="81"/>
      <c r="H308" s="81"/>
      <c r="I308" s="80"/>
      <c r="J308" s="80"/>
      <c r="K308" s="80"/>
      <c r="L308" s="81"/>
    </row>
    <row r="309" spans="2:12" x14ac:dyDescent="0.2">
      <c r="B309" s="81"/>
      <c r="C309" s="81"/>
      <c r="D309" s="81"/>
      <c r="E309" s="81"/>
      <c r="F309" s="81"/>
      <c r="G309" s="81"/>
      <c r="H309" s="81"/>
      <c r="I309" s="80"/>
      <c r="J309" s="80"/>
      <c r="K309" s="80"/>
      <c r="L309" s="81"/>
    </row>
    <row r="310" spans="2:12" x14ac:dyDescent="0.2">
      <c r="B310" s="81"/>
      <c r="C310" s="81"/>
      <c r="D310" s="81"/>
      <c r="E310" s="81"/>
      <c r="F310" s="81"/>
      <c r="G310" s="81"/>
      <c r="H310" s="81"/>
      <c r="I310" s="80"/>
      <c r="J310" s="80"/>
      <c r="K310" s="80"/>
      <c r="L310" s="81"/>
    </row>
    <row r="311" spans="2:12" x14ac:dyDescent="0.2">
      <c r="B311" s="81"/>
      <c r="C311" s="81"/>
      <c r="D311" s="81"/>
      <c r="E311" s="81"/>
      <c r="F311" s="81"/>
      <c r="G311" s="81"/>
      <c r="H311" s="81"/>
      <c r="I311" s="80"/>
      <c r="J311" s="80"/>
      <c r="K311" s="80"/>
      <c r="L311" s="81"/>
    </row>
    <row r="312" spans="2:12" x14ac:dyDescent="0.2">
      <c r="B312" s="81"/>
      <c r="C312" s="81"/>
      <c r="D312" s="81"/>
      <c r="E312" s="81"/>
      <c r="F312" s="81"/>
      <c r="G312" s="81"/>
      <c r="H312" s="81"/>
      <c r="I312" s="80"/>
      <c r="J312" s="80"/>
      <c r="K312" s="80"/>
      <c r="L312" s="81"/>
    </row>
    <row r="313" spans="2:12" x14ac:dyDescent="0.2">
      <c r="B313" s="81"/>
      <c r="C313" s="81"/>
      <c r="D313" s="81"/>
      <c r="E313" s="81"/>
      <c r="F313" s="81"/>
      <c r="G313" s="81"/>
      <c r="H313" s="81"/>
      <c r="I313" s="80"/>
      <c r="J313" s="80"/>
      <c r="K313" s="80"/>
      <c r="L313" s="81"/>
    </row>
    <row r="314" spans="2:12" x14ac:dyDescent="0.2">
      <c r="B314" s="81"/>
      <c r="C314" s="81"/>
      <c r="D314" s="81"/>
      <c r="E314" s="81"/>
      <c r="F314" s="81"/>
      <c r="G314" s="81"/>
      <c r="H314" s="81"/>
      <c r="I314" s="80"/>
      <c r="J314" s="80"/>
      <c r="K314" s="80"/>
      <c r="L314" s="81"/>
    </row>
    <row r="315" spans="2:12" x14ac:dyDescent="0.2">
      <c r="B315" s="81"/>
      <c r="C315" s="81"/>
      <c r="D315" s="81"/>
      <c r="E315" s="81"/>
      <c r="F315" s="81"/>
      <c r="G315" s="81"/>
      <c r="H315" s="81"/>
      <c r="I315" s="80"/>
      <c r="J315" s="80"/>
      <c r="K315" s="80"/>
      <c r="L315" s="81"/>
    </row>
    <row r="316" spans="2:12" x14ac:dyDescent="0.2">
      <c r="B316" s="81"/>
      <c r="C316" s="81"/>
      <c r="D316" s="81"/>
      <c r="E316" s="81"/>
      <c r="F316" s="81"/>
      <c r="G316" s="81"/>
      <c r="H316" s="81"/>
      <c r="I316" s="80"/>
      <c r="J316" s="80"/>
      <c r="K316" s="80"/>
      <c r="L316" s="81"/>
    </row>
    <row r="317" spans="2:12" x14ac:dyDescent="0.2">
      <c r="B317" s="81"/>
      <c r="C317" s="81"/>
      <c r="D317" s="81"/>
      <c r="E317" s="81"/>
      <c r="F317" s="81"/>
      <c r="G317" s="81"/>
      <c r="H317" s="81"/>
      <c r="I317" s="80"/>
      <c r="J317" s="80"/>
      <c r="K317" s="80"/>
      <c r="L317" s="81"/>
    </row>
    <row r="318" spans="2:12" x14ac:dyDescent="0.2">
      <c r="B318" s="81"/>
      <c r="C318" s="81"/>
      <c r="D318" s="81"/>
      <c r="E318" s="81"/>
      <c r="F318" s="81"/>
      <c r="G318" s="81"/>
      <c r="H318" s="81"/>
      <c r="I318" s="80"/>
      <c r="J318" s="80"/>
      <c r="K318" s="80"/>
      <c r="L318" s="81"/>
    </row>
    <row r="319" spans="2:12" x14ac:dyDescent="0.2">
      <c r="B319" s="81"/>
      <c r="C319" s="81"/>
      <c r="D319" s="81"/>
      <c r="E319" s="81"/>
      <c r="F319" s="81"/>
      <c r="G319" s="81"/>
      <c r="H319" s="81"/>
      <c r="I319" s="80"/>
      <c r="J319" s="80"/>
      <c r="K319" s="80"/>
      <c r="L319" s="81"/>
    </row>
    <row r="320" spans="2:12" x14ac:dyDescent="0.2">
      <c r="B320" s="81"/>
      <c r="C320" s="81"/>
      <c r="D320" s="81"/>
      <c r="E320" s="81"/>
      <c r="F320" s="81"/>
      <c r="G320" s="81"/>
      <c r="H320" s="81"/>
      <c r="I320" s="80"/>
      <c r="J320" s="80"/>
      <c r="K320" s="80"/>
      <c r="L320" s="81"/>
    </row>
    <row r="321" spans="2:12" x14ac:dyDescent="0.2">
      <c r="B321" s="81"/>
      <c r="C321" s="81"/>
      <c r="D321" s="81"/>
      <c r="E321" s="81"/>
      <c r="F321" s="81"/>
      <c r="G321" s="81"/>
      <c r="H321" s="81"/>
      <c r="I321" s="80"/>
      <c r="J321" s="80"/>
      <c r="K321" s="80"/>
      <c r="L321" s="81"/>
    </row>
    <row r="322" spans="2:12" x14ac:dyDescent="0.2">
      <c r="B322" s="81"/>
      <c r="C322" s="81"/>
      <c r="D322" s="81"/>
      <c r="E322" s="81"/>
      <c r="F322" s="81"/>
      <c r="G322" s="81"/>
      <c r="H322" s="81"/>
      <c r="I322" s="80"/>
      <c r="J322" s="80"/>
      <c r="K322" s="80"/>
      <c r="L322" s="81"/>
    </row>
    <row r="323" spans="2:12" x14ac:dyDescent="0.2">
      <c r="B323" s="81"/>
      <c r="C323" s="81"/>
      <c r="D323" s="81"/>
      <c r="E323" s="81"/>
      <c r="F323" s="81"/>
      <c r="G323" s="81"/>
      <c r="H323" s="81"/>
      <c r="I323" s="80"/>
      <c r="J323" s="80"/>
      <c r="K323" s="80"/>
      <c r="L323" s="81"/>
    </row>
    <row r="324" spans="2:12" x14ac:dyDescent="0.2">
      <c r="B324" s="81"/>
      <c r="C324" s="81"/>
      <c r="D324" s="81"/>
      <c r="E324" s="81"/>
      <c r="F324" s="81"/>
      <c r="G324" s="81"/>
      <c r="H324" s="81"/>
      <c r="I324" s="80"/>
      <c r="J324" s="80"/>
      <c r="K324" s="80"/>
      <c r="L324" s="81"/>
    </row>
    <row r="325" spans="2:12" x14ac:dyDescent="0.2">
      <c r="B325" s="81"/>
      <c r="C325" s="81"/>
      <c r="D325" s="81"/>
      <c r="E325" s="81"/>
      <c r="F325" s="81"/>
      <c r="G325" s="81"/>
      <c r="H325" s="81"/>
      <c r="I325" s="80"/>
      <c r="J325" s="80"/>
      <c r="K325" s="80"/>
      <c r="L325" s="81"/>
    </row>
    <row r="326" spans="2:12" x14ac:dyDescent="0.2">
      <c r="B326" s="81"/>
      <c r="C326" s="81"/>
      <c r="D326" s="81"/>
      <c r="E326" s="81"/>
      <c r="F326" s="81"/>
      <c r="G326" s="81"/>
      <c r="H326" s="81"/>
      <c r="I326" s="80"/>
      <c r="J326" s="80"/>
      <c r="K326" s="80"/>
      <c r="L326" s="81"/>
    </row>
    <row r="327" spans="2:12" x14ac:dyDescent="0.2">
      <c r="B327" s="81"/>
      <c r="C327" s="81"/>
      <c r="D327" s="81"/>
      <c r="E327" s="81"/>
      <c r="F327" s="81"/>
      <c r="G327" s="81"/>
      <c r="H327" s="81"/>
      <c r="I327" s="80"/>
      <c r="J327" s="80"/>
      <c r="K327" s="80"/>
      <c r="L327" s="81"/>
    </row>
    <row r="328" spans="2:12" x14ac:dyDescent="0.2">
      <c r="B328" s="81"/>
      <c r="C328" s="81"/>
      <c r="D328" s="81"/>
      <c r="E328" s="81"/>
      <c r="F328" s="81"/>
      <c r="G328" s="81"/>
      <c r="H328" s="81"/>
      <c r="I328" s="80"/>
      <c r="J328" s="80"/>
      <c r="K328" s="80"/>
      <c r="L328" s="81"/>
    </row>
    <row r="329" spans="2:12" x14ac:dyDescent="0.2">
      <c r="B329" s="81"/>
      <c r="C329" s="81"/>
      <c r="D329" s="81"/>
      <c r="E329" s="81"/>
      <c r="F329" s="81"/>
      <c r="G329" s="81"/>
      <c r="H329" s="81"/>
      <c r="I329" s="80"/>
      <c r="J329" s="80"/>
      <c r="K329" s="80"/>
      <c r="L329" s="81"/>
    </row>
    <row r="330" spans="2:12" x14ac:dyDescent="0.2">
      <c r="B330" s="81"/>
      <c r="C330" s="81"/>
      <c r="D330" s="81"/>
      <c r="E330" s="81"/>
      <c r="F330" s="81"/>
      <c r="G330" s="81"/>
      <c r="H330" s="81"/>
      <c r="I330" s="80"/>
      <c r="J330" s="80"/>
      <c r="K330" s="80"/>
      <c r="L330" s="81"/>
    </row>
    <row r="331" spans="2:12" x14ac:dyDescent="0.2">
      <c r="B331" s="81"/>
      <c r="C331" s="81"/>
      <c r="D331" s="81"/>
      <c r="E331" s="81"/>
      <c r="F331" s="81"/>
      <c r="G331" s="81"/>
      <c r="H331" s="81"/>
      <c r="I331" s="80"/>
      <c r="J331" s="80"/>
      <c r="K331" s="80"/>
      <c r="L331" s="81"/>
    </row>
    <row r="332" spans="2:12" x14ac:dyDescent="0.2">
      <c r="B332" s="81"/>
      <c r="C332" s="81"/>
      <c r="D332" s="81"/>
      <c r="E332" s="81"/>
      <c r="F332" s="81"/>
      <c r="G332" s="81"/>
      <c r="H332" s="81"/>
      <c r="I332" s="80"/>
      <c r="J332" s="80"/>
      <c r="K332" s="80"/>
      <c r="L332" s="81"/>
    </row>
    <row r="333" spans="2:12" x14ac:dyDescent="0.2">
      <c r="B333" s="81"/>
      <c r="C333" s="81"/>
      <c r="D333" s="81"/>
      <c r="E333" s="81"/>
      <c r="F333" s="81"/>
      <c r="G333" s="81"/>
      <c r="H333" s="81"/>
      <c r="I333" s="80"/>
      <c r="J333" s="80"/>
      <c r="K333" s="80"/>
      <c r="L333" s="81"/>
    </row>
    <row r="334" spans="2:12" x14ac:dyDescent="0.2">
      <c r="B334" s="81"/>
      <c r="C334" s="81"/>
      <c r="D334" s="81"/>
      <c r="E334" s="81"/>
      <c r="F334" s="81"/>
      <c r="G334" s="81"/>
      <c r="H334" s="81"/>
      <c r="I334" s="80"/>
      <c r="J334" s="80"/>
      <c r="K334" s="80"/>
      <c r="L334" s="81"/>
    </row>
    <row r="335" spans="2:12" x14ac:dyDescent="0.2">
      <c r="B335" s="81"/>
      <c r="C335" s="81"/>
      <c r="D335" s="81"/>
      <c r="E335" s="81"/>
      <c r="F335" s="81"/>
      <c r="G335" s="81"/>
      <c r="H335" s="81"/>
      <c r="I335" s="80"/>
      <c r="J335" s="80"/>
      <c r="K335" s="80"/>
      <c r="L335" s="81"/>
    </row>
    <row r="336" spans="2:12" x14ac:dyDescent="0.2">
      <c r="B336" s="81"/>
      <c r="C336" s="81"/>
      <c r="D336" s="81"/>
      <c r="E336" s="81"/>
      <c r="F336" s="81"/>
      <c r="G336" s="81"/>
      <c r="H336" s="81"/>
      <c r="I336" s="80"/>
      <c r="J336" s="80"/>
      <c r="K336" s="80"/>
      <c r="L336" s="81"/>
    </row>
    <row r="337" spans="2:12" x14ac:dyDescent="0.2">
      <c r="B337" s="81"/>
      <c r="C337" s="81"/>
      <c r="D337" s="81"/>
      <c r="E337" s="81"/>
      <c r="F337" s="81"/>
      <c r="G337" s="81"/>
      <c r="H337" s="81"/>
      <c r="I337" s="80"/>
      <c r="J337" s="80"/>
      <c r="K337" s="80"/>
      <c r="L337" s="81"/>
    </row>
    <row r="338" spans="2:12" x14ac:dyDescent="0.2">
      <c r="B338" s="81"/>
      <c r="C338" s="81"/>
      <c r="D338" s="81"/>
      <c r="E338" s="81"/>
      <c r="F338" s="81"/>
      <c r="G338" s="81"/>
      <c r="H338" s="81"/>
      <c r="I338" s="80"/>
      <c r="J338" s="80"/>
      <c r="K338" s="80"/>
      <c r="L338" s="81"/>
    </row>
    <row r="339" spans="2:12" x14ac:dyDescent="0.2">
      <c r="B339" s="81"/>
      <c r="C339" s="81"/>
      <c r="D339" s="81"/>
      <c r="E339" s="81"/>
      <c r="F339" s="81"/>
      <c r="G339" s="81"/>
      <c r="H339" s="81"/>
      <c r="I339" s="80"/>
      <c r="J339" s="80"/>
      <c r="K339" s="80"/>
      <c r="L339" s="81"/>
    </row>
    <row r="340" spans="2:12" x14ac:dyDescent="0.2">
      <c r="B340" s="81"/>
      <c r="C340" s="81"/>
      <c r="D340" s="81"/>
      <c r="E340" s="81"/>
      <c r="F340" s="81"/>
      <c r="G340" s="81"/>
      <c r="H340" s="81"/>
      <c r="I340" s="80"/>
      <c r="J340" s="80"/>
      <c r="K340" s="80"/>
      <c r="L340" s="81"/>
    </row>
    <row r="341" spans="2:12" x14ac:dyDescent="0.2">
      <c r="B341" s="81"/>
      <c r="C341" s="81"/>
      <c r="D341" s="81"/>
      <c r="E341" s="81"/>
      <c r="F341" s="81"/>
      <c r="G341" s="81"/>
      <c r="H341" s="81"/>
      <c r="I341" s="80"/>
      <c r="J341" s="80"/>
      <c r="K341" s="80"/>
      <c r="L341" s="81"/>
    </row>
    <row r="342" spans="2:12" x14ac:dyDescent="0.2">
      <c r="B342" s="81"/>
      <c r="C342" s="81"/>
      <c r="D342" s="81"/>
      <c r="E342" s="81"/>
      <c r="F342" s="81"/>
      <c r="G342" s="81"/>
      <c r="H342" s="81"/>
      <c r="I342" s="80"/>
      <c r="J342" s="80"/>
      <c r="K342" s="80"/>
      <c r="L342" s="81"/>
    </row>
    <row r="343" spans="2:12" x14ac:dyDescent="0.2">
      <c r="B343" s="81"/>
      <c r="C343" s="81"/>
      <c r="D343" s="81"/>
      <c r="E343" s="81"/>
      <c r="F343" s="81"/>
      <c r="G343" s="81"/>
      <c r="H343" s="81"/>
      <c r="I343" s="80"/>
      <c r="J343" s="80"/>
      <c r="K343" s="80"/>
      <c r="L343" s="81"/>
    </row>
    <row r="344" spans="2:12" x14ac:dyDescent="0.2">
      <c r="B344" s="81"/>
      <c r="C344" s="81"/>
      <c r="D344" s="81"/>
      <c r="E344" s="81"/>
      <c r="F344" s="81"/>
      <c r="G344" s="81"/>
      <c r="H344" s="81"/>
      <c r="I344" s="80"/>
      <c r="J344" s="80"/>
      <c r="K344" s="80"/>
      <c r="L344" s="81"/>
    </row>
    <row r="345" spans="2:12" x14ac:dyDescent="0.2">
      <c r="B345" s="81"/>
      <c r="C345" s="81"/>
      <c r="D345" s="81"/>
      <c r="E345" s="81"/>
      <c r="F345" s="81"/>
      <c r="G345" s="81"/>
      <c r="H345" s="81"/>
      <c r="I345" s="80"/>
      <c r="J345" s="80"/>
      <c r="K345" s="80"/>
      <c r="L345" s="81"/>
    </row>
    <row r="346" spans="2:12" x14ac:dyDescent="0.2">
      <c r="B346" s="81"/>
      <c r="C346" s="81"/>
      <c r="D346" s="81"/>
      <c r="E346" s="81"/>
      <c r="F346" s="81"/>
      <c r="G346" s="81"/>
      <c r="H346" s="81"/>
      <c r="I346" s="80"/>
      <c r="J346" s="80"/>
      <c r="K346" s="80"/>
      <c r="L346" s="81"/>
    </row>
    <row r="347" spans="2:12" x14ac:dyDescent="0.2">
      <c r="B347" s="81"/>
      <c r="C347" s="81"/>
      <c r="D347" s="81"/>
      <c r="E347" s="81"/>
      <c r="F347" s="81"/>
      <c r="G347" s="81"/>
      <c r="H347" s="81"/>
      <c r="I347" s="80"/>
      <c r="J347" s="80"/>
      <c r="K347" s="80"/>
      <c r="L347" s="81"/>
    </row>
    <row r="348" spans="2:12" x14ac:dyDescent="0.2">
      <c r="B348" s="81"/>
      <c r="C348" s="81"/>
      <c r="D348" s="81"/>
      <c r="E348" s="81"/>
      <c r="F348" s="81"/>
      <c r="G348" s="81"/>
      <c r="H348" s="81"/>
      <c r="I348" s="80"/>
      <c r="J348" s="80"/>
      <c r="K348" s="80"/>
      <c r="L348" s="81"/>
    </row>
    <row r="349" spans="2:12" x14ac:dyDescent="0.2">
      <c r="B349" s="81"/>
      <c r="C349" s="81"/>
      <c r="D349" s="81"/>
      <c r="E349" s="81"/>
      <c r="F349" s="81"/>
      <c r="G349" s="81"/>
      <c r="H349" s="81"/>
      <c r="I349" s="80"/>
      <c r="J349" s="80"/>
      <c r="K349" s="80"/>
      <c r="L349" s="81"/>
    </row>
    <row r="350" spans="2:12" x14ac:dyDescent="0.2">
      <c r="B350" s="81"/>
      <c r="C350" s="81"/>
      <c r="D350" s="81"/>
      <c r="E350" s="81"/>
      <c r="F350" s="81"/>
      <c r="G350" s="81"/>
      <c r="H350" s="81"/>
      <c r="I350" s="80"/>
      <c r="J350" s="80"/>
      <c r="K350" s="80"/>
      <c r="L350" s="81"/>
    </row>
    <row r="351" spans="2:12" x14ac:dyDescent="0.2">
      <c r="B351" s="81"/>
      <c r="C351" s="81"/>
      <c r="D351" s="81"/>
      <c r="E351" s="81"/>
      <c r="F351" s="81"/>
      <c r="G351" s="81"/>
      <c r="H351" s="81"/>
      <c r="I351" s="80"/>
      <c r="J351" s="80"/>
      <c r="K351" s="80"/>
      <c r="L351" s="81"/>
    </row>
    <row r="352" spans="2:12" x14ac:dyDescent="0.2">
      <c r="B352" s="81"/>
      <c r="C352" s="81"/>
      <c r="D352" s="81"/>
      <c r="E352" s="81"/>
      <c r="F352" s="81"/>
      <c r="G352" s="81"/>
      <c r="H352" s="81"/>
      <c r="I352" s="80"/>
      <c r="J352" s="80"/>
      <c r="K352" s="80"/>
      <c r="L352" s="81"/>
    </row>
    <row r="353" spans="2:12" x14ac:dyDescent="0.2">
      <c r="B353" s="81"/>
      <c r="C353" s="81"/>
      <c r="D353" s="81"/>
      <c r="E353" s="81"/>
      <c r="F353" s="81"/>
      <c r="G353" s="81"/>
      <c r="H353" s="81"/>
      <c r="I353" s="80"/>
      <c r="J353" s="80"/>
      <c r="K353" s="80"/>
      <c r="L353" s="81"/>
    </row>
    <row r="354" spans="2:12" x14ac:dyDescent="0.2">
      <c r="B354" s="81"/>
      <c r="C354" s="81"/>
      <c r="D354" s="81"/>
      <c r="E354" s="81"/>
      <c r="F354" s="81"/>
      <c r="G354" s="81"/>
      <c r="H354" s="81"/>
      <c r="I354" s="80"/>
      <c r="J354" s="80"/>
      <c r="K354" s="80"/>
      <c r="L354" s="81"/>
    </row>
    <row r="355" spans="2:12" x14ac:dyDescent="0.2">
      <c r="B355" s="81"/>
      <c r="C355" s="81"/>
      <c r="D355" s="81"/>
      <c r="E355" s="81"/>
      <c r="F355" s="81"/>
      <c r="G355" s="81"/>
      <c r="H355" s="81"/>
      <c r="I355" s="80"/>
      <c r="J355" s="80"/>
      <c r="K355" s="80"/>
      <c r="L355" s="81"/>
    </row>
    <row r="356" spans="2:12" x14ac:dyDescent="0.2">
      <c r="B356" s="81"/>
      <c r="C356" s="81"/>
      <c r="D356" s="81"/>
      <c r="E356" s="81"/>
      <c r="F356" s="81"/>
      <c r="G356" s="81"/>
      <c r="H356" s="81"/>
      <c r="I356" s="80"/>
      <c r="J356" s="80"/>
      <c r="K356" s="80"/>
      <c r="L356" s="81"/>
    </row>
    <row r="357" spans="2:12" x14ac:dyDescent="0.2">
      <c r="B357" s="81"/>
      <c r="C357" s="81"/>
      <c r="D357" s="81"/>
      <c r="E357" s="81"/>
      <c r="F357" s="81"/>
      <c r="G357" s="81"/>
      <c r="H357" s="81"/>
      <c r="I357" s="80"/>
      <c r="J357" s="80"/>
      <c r="K357" s="80"/>
      <c r="L357" s="81"/>
    </row>
    <row r="358" spans="2:12" x14ac:dyDescent="0.2">
      <c r="B358" s="81"/>
      <c r="C358" s="81"/>
      <c r="D358" s="81"/>
      <c r="E358" s="81"/>
      <c r="F358" s="81"/>
      <c r="G358" s="81"/>
      <c r="H358" s="81"/>
      <c r="I358" s="80"/>
      <c r="J358" s="80"/>
      <c r="K358" s="80"/>
      <c r="L358" s="81"/>
    </row>
    <row r="359" spans="2:12" x14ac:dyDescent="0.2">
      <c r="B359" s="81"/>
      <c r="C359" s="81"/>
      <c r="D359" s="81"/>
      <c r="E359" s="81"/>
      <c r="F359" s="81"/>
      <c r="G359" s="81"/>
      <c r="H359" s="81"/>
      <c r="I359" s="80"/>
      <c r="J359" s="80"/>
      <c r="K359" s="80"/>
      <c r="L359" s="81"/>
    </row>
    <row r="360" spans="2:12" x14ac:dyDescent="0.2">
      <c r="B360" s="81"/>
      <c r="C360" s="81"/>
      <c r="D360" s="81"/>
      <c r="E360" s="81"/>
      <c r="F360" s="81"/>
      <c r="G360" s="81"/>
      <c r="H360" s="81"/>
      <c r="I360" s="80"/>
      <c r="J360" s="80"/>
      <c r="K360" s="80"/>
      <c r="L360" s="81"/>
    </row>
    <row r="361" spans="2:12" x14ac:dyDescent="0.2">
      <c r="B361" s="81"/>
      <c r="C361" s="81"/>
      <c r="D361" s="81"/>
      <c r="E361" s="81"/>
      <c r="F361" s="81"/>
      <c r="G361" s="81"/>
      <c r="H361" s="81"/>
      <c r="I361" s="80"/>
      <c r="J361" s="80"/>
      <c r="K361" s="80"/>
      <c r="L361" s="81"/>
    </row>
    <row r="362" spans="2:12" x14ac:dyDescent="0.2">
      <c r="B362" s="81"/>
      <c r="C362" s="81"/>
      <c r="D362" s="81"/>
      <c r="E362" s="81"/>
      <c r="F362" s="81"/>
      <c r="G362" s="81"/>
      <c r="H362" s="81"/>
      <c r="I362" s="80"/>
      <c r="J362" s="80"/>
      <c r="K362" s="80"/>
      <c r="L362" s="81"/>
    </row>
    <row r="363" spans="2:12" x14ac:dyDescent="0.2">
      <c r="B363" s="81"/>
      <c r="C363" s="81"/>
      <c r="D363" s="81"/>
      <c r="E363" s="81"/>
      <c r="F363" s="81"/>
      <c r="G363" s="81"/>
      <c r="H363" s="81"/>
      <c r="I363" s="80"/>
      <c r="J363" s="80"/>
      <c r="K363" s="80"/>
      <c r="L363" s="81"/>
    </row>
    <row r="364" spans="2:12" x14ac:dyDescent="0.2">
      <c r="B364" s="81"/>
      <c r="C364" s="81"/>
      <c r="D364" s="81"/>
      <c r="E364" s="81"/>
      <c r="F364" s="81"/>
      <c r="G364" s="81"/>
      <c r="H364" s="81"/>
      <c r="I364" s="80"/>
      <c r="J364" s="80"/>
      <c r="K364" s="80"/>
      <c r="L364" s="81"/>
    </row>
    <row r="365" spans="2:12" x14ac:dyDescent="0.2">
      <c r="B365" s="81"/>
      <c r="C365" s="81"/>
      <c r="D365" s="81"/>
      <c r="E365" s="81"/>
      <c r="F365" s="81"/>
      <c r="G365" s="81"/>
      <c r="H365" s="81"/>
      <c r="I365" s="80"/>
      <c r="J365" s="80"/>
      <c r="K365" s="80"/>
      <c r="L365" s="81"/>
    </row>
    <row r="366" spans="2:12" x14ac:dyDescent="0.2">
      <c r="B366" s="81"/>
      <c r="C366" s="81"/>
      <c r="D366" s="81"/>
      <c r="E366" s="81"/>
      <c r="F366" s="81"/>
      <c r="G366" s="81"/>
      <c r="H366" s="81"/>
      <c r="I366" s="80"/>
      <c r="J366" s="80"/>
      <c r="K366" s="80"/>
      <c r="L366" s="81"/>
    </row>
    <row r="367" spans="2:12" x14ac:dyDescent="0.2">
      <c r="B367" s="81"/>
      <c r="C367" s="81"/>
      <c r="D367" s="81"/>
      <c r="E367" s="81"/>
      <c r="F367" s="81"/>
      <c r="G367" s="81"/>
      <c r="H367" s="81"/>
      <c r="I367" s="80"/>
      <c r="J367" s="80"/>
      <c r="K367" s="80"/>
      <c r="L367" s="81"/>
    </row>
    <row r="368" spans="2:12" x14ac:dyDescent="0.2">
      <c r="B368" s="81"/>
      <c r="C368" s="81"/>
      <c r="D368" s="81"/>
      <c r="E368" s="81"/>
      <c r="F368" s="81"/>
      <c r="G368" s="81"/>
      <c r="H368" s="81"/>
      <c r="I368" s="80"/>
      <c r="J368" s="80"/>
      <c r="K368" s="80"/>
      <c r="L368" s="81"/>
    </row>
    <row r="369" spans="2:12" x14ac:dyDescent="0.2">
      <c r="B369" s="81"/>
      <c r="C369" s="81"/>
      <c r="D369" s="81"/>
      <c r="E369" s="81"/>
      <c r="F369" s="81"/>
      <c r="G369" s="81"/>
      <c r="H369" s="81"/>
      <c r="I369" s="80"/>
      <c r="J369" s="80"/>
      <c r="K369" s="80"/>
      <c r="L369" s="81"/>
    </row>
    <row r="370" spans="2:12" x14ac:dyDescent="0.2">
      <c r="B370" s="81"/>
      <c r="C370" s="81"/>
      <c r="D370" s="81"/>
      <c r="E370" s="81"/>
      <c r="F370" s="81"/>
      <c r="G370" s="81"/>
      <c r="H370" s="81"/>
      <c r="I370" s="80"/>
      <c r="J370" s="80"/>
      <c r="K370" s="80"/>
      <c r="L370" s="81"/>
    </row>
    <row r="371" spans="2:12" x14ac:dyDescent="0.2">
      <c r="B371" s="81"/>
      <c r="C371" s="81"/>
      <c r="D371" s="81"/>
      <c r="E371" s="81"/>
      <c r="F371" s="81"/>
      <c r="G371" s="81"/>
      <c r="H371" s="81"/>
      <c r="I371" s="80"/>
      <c r="J371" s="80"/>
      <c r="K371" s="80"/>
      <c r="L371" s="81"/>
    </row>
    <row r="372" spans="2:12" x14ac:dyDescent="0.2">
      <c r="B372" s="81"/>
      <c r="C372" s="81"/>
      <c r="D372" s="81"/>
      <c r="E372" s="81"/>
      <c r="F372" s="81"/>
      <c r="G372" s="81"/>
      <c r="H372" s="81"/>
      <c r="I372" s="80"/>
      <c r="J372" s="80"/>
      <c r="K372" s="80"/>
      <c r="L372" s="81"/>
    </row>
    <row r="373" spans="2:12" x14ac:dyDescent="0.2">
      <c r="B373" s="81"/>
      <c r="C373" s="81"/>
      <c r="D373" s="81"/>
      <c r="E373" s="81"/>
      <c r="F373" s="81"/>
      <c r="G373" s="81"/>
      <c r="H373" s="81"/>
      <c r="I373" s="80"/>
      <c r="J373" s="80"/>
      <c r="K373" s="80"/>
      <c r="L373" s="81"/>
    </row>
    <row r="374" spans="2:12" x14ac:dyDescent="0.2">
      <c r="B374" s="81"/>
      <c r="C374" s="81"/>
      <c r="D374" s="81"/>
      <c r="E374" s="81"/>
      <c r="F374" s="81"/>
      <c r="G374" s="81"/>
      <c r="H374" s="81"/>
      <c r="I374" s="80"/>
      <c r="J374" s="80"/>
      <c r="K374" s="80"/>
      <c r="L374" s="81"/>
    </row>
    <row r="375" spans="2:12" x14ac:dyDescent="0.2">
      <c r="B375" s="81"/>
      <c r="C375" s="81"/>
      <c r="D375" s="81"/>
      <c r="E375" s="81"/>
      <c r="F375" s="81"/>
      <c r="G375" s="81"/>
      <c r="H375" s="81"/>
      <c r="I375" s="80"/>
      <c r="J375" s="80"/>
      <c r="K375" s="80"/>
      <c r="L375" s="81"/>
    </row>
    <row r="376" spans="2:12" x14ac:dyDescent="0.2">
      <c r="B376" s="81"/>
      <c r="C376" s="81"/>
      <c r="D376" s="81"/>
      <c r="E376" s="81"/>
      <c r="F376" s="81"/>
      <c r="G376" s="81"/>
      <c r="H376" s="81"/>
      <c r="I376" s="80"/>
      <c r="J376" s="80"/>
      <c r="K376" s="80"/>
      <c r="L376" s="81"/>
    </row>
    <row r="377" spans="2:12" x14ac:dyDescent="0.2">
      <c r="B377" s="81"/>
      <c r="C377" s="81"/>
      <c r="D377" s="81"/>
      <c r="E377" s="81"/>
      <c r="F377" s="81"/>
      <c r="G377" s="81"/>
      <c r="H377" s="81"/>
      <c r="I377" s="80"/>
      <c r="J377" s="80"/>
      <c r="K377" s="80"/>
      <c r="L377" s="81"/>
    </row>
    <row r="378" spans="2:12" x14ac:dyDescent="0.2">
      <c r="B378" s="81"/>
      <c r="C378" s="81"/>
      <c r="D378" s="81"/>
      <c r="E378" s="81"/>
      <c r="F378" s="81"/>
      <c r="G378" s="81"/>
      <c r="H378" s="81"/>
      <c r="I378" s="80"/>
      <c r="J378" s="80"/>
      <c r="K378" s="80"/>
      <c r="L378" s="81"/>
    </row>
    <row r="379" spans="2:12" x14ac:dyDescent="0.2">
      <c r="B379" s="81"/>
      <c r="C379" s="81"/>
      <c r="D379" s="81"/>
      <c r="E379" s="81"/>
      <c r="F379" s="81"/>
      <c r="G379" s="81"/>
      <c r="H379" s="81"/>
      <c r="I379" s="80"/>
      <c r="J379" s="80"/>
      <c r="K379" s="80"/>
      <c r="L379" s="81"/>
    </row>
    <row r="380" spans="2:12" x14ac:dyDescent="0.2">
      <c r="B380" s="81"/>
      <c r="C380" s="81"/>
      <c r="D380" s="81"/>
      <c r="E380" s="81"/>
      <c r="F380" s="81"/>
      <c r="G380" s="81"/>
      <c r="H380" s="81"/>
      <c r="I380" s="80"/>
      <c r="J380" s="80"/>
      <c r="K380" s="80"/>
      <c r="L380" s="81"/>
    </row>
    <row r="381" spans="2:12" x14ac:dyDescent="0.2">
      <c r="B381" s="81"/>
      <c r="C381" s="81"/>
      <c r="D381" s="81"/>
      <c r="E381" s="81"/>
      <c r="F381" s="81"/>
      <c r="G381" s="81"/>
      <c r="H381" s="81"/>
      <c r="I381" s="80"/>
      <c r="J381" s="80"/>
      <c r="K381" s="80"/>
      <c r="L381" s="81"/>
    </row>
    <row r="382" spans="2:12" x14ac:dyDescent="0.2">
      <c r="B382" s="81"/>
      <c r="C382" s="81"/>
      <c r="D382" s="81"/>
      <c r="E382" s="81"/>
      <c r="F382" s="81"/>
      <c r="G382" s="81"/>
      <c r="H382" s="81"/>
      <c r="I382" s="80"/>
      <c r="J382" s="80"/>
      <c r="K382" s="80"/>
      <c r="L382" s="81"/>
    </row>
    <row r="383" spans="2:12" x14ac:dyDescent="0.2">
      <c r="B383" s="81"/>
      <c r="C383" s="81"/>
      <c r="D383" s="81"/>
      <c r="E383" s="81"/>
      <c r="F383" s="81"/>
      <c r="G383" s="81"/>
      <c r="H383" s="81"/>
      <c r="I383" s="80"/>
      <c r="J383" s="80"/>
      <c r="K383" s="80"/>
      <c r="L383" s="81"/>
    </row>
    <row r="384" spans="2:12" x14ac:dyDescent="0.2">
      <c r="B384" s="81"/>
      <c r="C384" s="81"/>
      <c r="D384" s="81"/>
      <c r="E384" s="81"/>
      <c r="F384" s="81"/>
      <c r="G384" s="81"/>
      <c r="H384" s="81"/>
      <c r="I384" s="80"/>
      <c r="J384" s="80"/>
      <c r="K384" s="80"/>
      <c r="L384" s="81"/>
    </row>
    <row r="385" spans="2:12" x14ac:dyDescent="0.2">
      <c r="B385" s="81"/>
      <c r="C385" s="81"/>
      <c r="D385" s="81"/>
      <c r="E385" s="81"/>
      <c r="F385" s="81"/>
      <c r="G385" s="81"/>
      <c r="H385" s="81"/>
      <c r="I385" s="80"/>
      <c r="J385" s="80"/>
      <c r="K385" s="80"/>
      <c r="L385" s="81"/>
    </row>
  </sheetData>
  <mergeCells count="6">
    <mergeCell ref="D1:H3"/>
    <mergeCell ref="A4:C4"/>
    <mergeCell ref="D4:H4"/>
    <mergeCell ref="A5:C5"/>
    <mergeCell ref="D5:G5"/>
    <mergeCell ref="H5:H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&amp;L&amp;"Calibri,Regular"&amp;K184782&amp;F&amp;C&amp;"Calibri,Regular"&amp;K184782&amp;A&amp;R&amp;"Calibri,Regular"&amp;K184782&amp;P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AGC486"/>
  <sheetViews>
    <sheetView showGridLines="0" workbookViewId="0">
      <pane ySplit="2985" topLeftCell="A220" activePane="bottomLeft"/>
      <selection activeCell="H222" sqref="H222"/>
      <selection pane="bottomLeft" activeCell="A227" sqref="A227:A228"/>
    </sheetView>
  </sheetViews>
  <sheetFormatPr defaultRowHeight="15" x14ac:dyDescent="0.2"/>
  <cols>
    <col min="1" max="1" width="10.6640625" customWidth="1"/>
    <col min="2" max="2" width="7.88671875" bestFit="1" customWidth="1"/>
    <col min="3" max="7" width="7.88671875" customWidth="1"/>
    <col min="8" max="8" width="11.88671875" customWidth="1"/>
    <col min="9" max="256" width="8.88671875" style="51"/>
    <col min="257" max="257" width="7.77734375" style="51" customWidth="1"/>
    <col min="258" max="258" width="7.88671875" style="51" bestFit="1" customWidth="1"/>
    <col min="259" max="259" width="7.88671875" style="51" customWidth="1"/>
    <col min="260" max="263" width="8.88671875" style="51"/>
    <col min="264" max="264" width="11.88671875" style="51" customWidth="1"/>
    <col min="265" max="512" width="8.88671875" style="51"/>
    <col min="513" max="513" width="7.77734375" style="51" customWidth="1"/>
    <col min="514" max="514" width="7.88671875" style="51" bestFit="1" customWidth="1"/>
    <col min="515" max="515" width="7.88671875" style="51" customWidth="1"/>
    <col min="516" max="519" width="8.88671875" style="51"/>
    <col min="520" max="520" width="11.88671875" style="51" customWidth="1"/>
    <col min="521" max="768" width="8.88671875" style="51"/>
    <col min="769" max="769" width="7.77734375" style="51" customWidth="1"/>
    <col min="770" max="770" width="7.88671875" style="51" bestFit="1" customWidth="1"/>
    <col min="771" max="771" width="7.88671875" style="51" customWidth="1"/>
    <col min="772" max="775" width="8.88671875" style="51"/>
    <col min="776" max="776" width="11.88671875" style="51" customWidth="1"/>
    <col min="777" max="861" width="8.88671875" style="51"/>
    <col min="1025" max="1025" width="7.77734375" customWidth="1"/>
    <col min="1026" max="1026" width="7.88671875" bestFit="1" customWidth="1"/>
    <col min="1027" max="1027" width="7.88671875" customWidth="1"/>
    <col min="1032" max="1032" width="11.88671875" customWidth="1"/>
    <col min="1281" max="1281" width="7.77734375" customWidth="1"/>
    <col min="1282" max="1282" width="7.88671875" bestFit="1" customWidth="1"/>
    <col min="1283" max="1283" width="7.88671875" customWidth="1"/>
    <col min="1288" max="1288" width="11.88671875" customWidth="1"/>
    <col min="1537" max="1537" width="7.77734375" customWidth="1"/>
    <col min="1538" max="1538" width="7.88671875" bestFit="1" customWidth="1"/>
    <col min="1539" max="1539" width="7.88671875" customWidth="1"/>
    <col min="1544" max="1544" width="11.88671875" customWidth="1"/>
    <col min="1793" max="1793" width="7.77734375" customWidth="1"/>
    <col min="1794" max="1794" width="7.88671875" bestFit="1" customWidth="1"/>
    <col min="1795" max="1795" width="7.88671875" customWidth="1"/>
    <col min="1800" max="1800" width="11.88671875" customWidth="1"/>
    <col min="2049" max="2049" width="7.77734375" customWidth="1"/>
    <col min="2050" max="2050" width="7.88671875" bestFit="1" customWidth="1"/>
    <col min="2051" max="2051" width="7.88671875" customWidth="1"/>
    <col min="2056" max="2056" width="11.88671875" customWidth="1"/>
    <col min="2305" max="2305" width="7.77734375" customWidth="1"/>
    <col min="2306" max="2306" width="7.88671875" bestFit="1" customWidth="1"/>
    <col min="2307" max="2307" width="7.88671875" customWidth="1"/>
    <col min="2312" max="2312" width="11.88671875" customWidth="1"/>
    <col min="2561" max="2561" width="7.77734375" customWidth="1"/>
    <col min="2562" max="2562" width="7.88671875" bestFit="1" customWidth="1"/>
    <col min="2563" max="2563" width="7.88671875" customWidth="1"/>
    <col min="2568" max="2568" width="11.88671875" customWidth="1"/>
    <col min="2817" max="2817" width="7.77734375" customWidth="1"/>
    <col min="2818" max="2818" width="7.88671875" bestFit="1" customWidth="1"/>
    <col min="2819" max="2819" width="7.88671875" customWidth="1"/>
    <col min="2824" max="2824" width="11.88671875" customWidth="1"/>
    <col min="3073" max="3073" width="7.77734375" customWidth="1"/>
    <col min="3074" max="3074" width="7.88671875" bestFit="1" customWidth="1"/>
    <col min="3075" max="3075" width="7.88671875" customWidth="1"/>
    <col min="3080" max="3080" width="11.88671875" customWidth="1"/>
    <col min="3329" max="3329" width="7.77734375" customWidth="1"/>
    <col min="3330" max="3330" width="7.88671875" bestFit="1" customWidth="1"/>
    <col min="3331" max="3331" width="7.88671875" customWidth="1"/>
    <col min="3336" max="3336" width="11.88671875" customWidth="1"/>
    <col min="3585" max="3585" width="7.77734375" customWidth="1"/>
    <col min="3586" max="3586" width="7.88671875" bestFit="1" customWidth="1"/>
    <col min="3587" max="3587" width="7.88671875" customWidth="1"/>
    <col min="3592" max="3592" width="11.88671875" customWidth="1"/>
    <col min="3841" max="3841" width="7.77734375" customWidth="1"/>
    <col min="3842" max="3842" width="7.88671875" bestFit="1" customWidth="1"/>
    <col min="3843" max="3843" width="7.88671875" customWidth="1"/>
    <col min="3848" max="3848" width="11.88671875" customWidth="1"/>
    <col min="4097" max="4097" width="7.77734375" customWidth="1"/>
    <col min="4098" max="4098" width="7.88671875" bestFit="1" customWidth="1"/>
    <col min="4099" max="4099" width="7.88671875" customWidth="1"/>
    <col min="4104" max="4104" width="11.88671875" customWidth="1"/>
    <col min="4353" max="4353" width="7.77734375" customWidth="1"/>
    <col min="4354" max="4354" width="7.88671875" bestFit="1" customWidth="1"/>
    <col min="4355" max="4355" width="7.88671875" customWidth="1"/>
    <col min="4360" max="4360" width="11.88671875" customWidth="1"/>
    <col min="4609" max="4609" width="7.77734375" customWidth="1"/>
    <col min="4610" max="4610" width="7.88671875" bestFit="1" customWidth="1"/>
    <col min="4611" max="4611" width="7.88671875" customWidth="1"/>
    <col min="4616" max="4616" width="11.88671875" customWidth="1"/>
    <col min="4865" max="4865" width="7.77734375" customWidth="1"/>
    <col min="4866" max="4866" width="7.88671875" bestFit="1" customWidth="1"/>
    <col min="4867" max="4867" width="7.88671875" customWidth="1"/>
    <col min="4872" max="4872" width="11.88671875" customWidth="1"/>
    <col min="5121" max="5121" width="7.77734375" customWidth="1"/>
    <col min="5122" max="5122" width="7.88671875" bestFit="1" customWidth="1"/>
    <col min="5123" max="5123" width="7.88671875" customWidth="1"/>
    <col min="5128" max="5128" width="11.88671875" customWidth="1"/>
    <col min="5377" max="5377" width="7.77734375" customWidth="1"/>
    <col min="5378" max="5378" width="7.88671875" bestFit="1" customWidth="1"/>
    <col min="5379" max="5379" width="7.88671875" customWidth="1"/>
    <col min="5384" max="5384" width="11.88671875" customWidth="1"/>
    <col min="5633" max="5633" width="7.77734375" customWidth="1"/>
    <col min="5634" max="5634" width="7.88671875" bestFit="1" customWidth="1"/>
    <col min="5635" max="5635" width="7.88671875" customWidth="1"/>
    <col min="5640" max="5640" width="11.88671875" customWidth="1"/>
    <col min="5889" max="5889" width="7.77734375" customWidth="1"/>
    <col min="5890" max="5890" width="7.88671875" bestFit="1" customWidth="1"/>
    <col min="5891" max="5891" width="7.88671875" customWidth="1"/>
    <col min="5896" max="5896" width="11.88671875" customWidth="1"/>
    <col min="6145" max="6145" width="7.77734375" customWidth="1"/>
    <col min="6146" max="6146" width="7.88671875" bestFit="1" customWidth="1"/>
    <col min="6147" max="6147" width="7.88671875" customWidth="1"/>
    <col min="6152" max="6152" width="11.88671875" customWidth="1"/>
    <col min="6401" max="6401" width="7.77734375" customWidth="1"/>
    <col min="6402" max="6402" width="7.88671875" bestFit="1" customWidth="1"/>
    <col min="6403" max="6403" width="7.88671875" customWidth="1"/>
    <col min="6408" max="6408" width="11.88671875" customWidth="1"/>
    <col min="6657" max="6657" width="7.77734375" customWidth="1"/>
    <col min="6658" max="6658" width="7.88671875" bestFit="1" customWidth="1"/>
    <col min="6659" max="6659" width="7.88671875" customWidth="1"/>
    <col min="6664" max="6664" width="11.88671875" customWidth="1"/>
    <col min="6913" max="6913" width="7.77734375" customWidth="1"/>
    <col min="6914" max="6914" width="7.88671875" bestFit="1" customWidth="1"/>
    <col min="6915" max="6915" width="7.88671875" customWidth="1"/>
    <col min="6920" max="6920" width="11.88671875" customWidth="1"/>
    <col min="7169" max="7169" width="7.77734375" customWidth="1"/>
    <col min="7170" max="7170" width="7.88671875" bestFit="1" customWidth="1"/>
    <col min="7171" max="7171" width="7.88671875" customWidth="1"/>
    <col min="7176" max="7176" width="11.88671875" customWidth="1"/>
    <col min="7425" max="7425" width="7.77734375" customWidth="1"/>
    <col min="7426" max="7426" width="7.88671875" bestFit="1" customWidth="1"/>
    <col min="7427" max="7427" width="7.88671875" customWidth="1"/>
    <col min="7432" max="7432" width="11.88671875" customWidth="1"/>
    <col min="7681" max="7681" width="7.77734375" customWidth="1"/>
    <col min="7682" max="7682" width="7.88671875" bestFit="1" customWidth="1"/>
    <col min="7683" max="7683" width="7.88671875" customWidth="1"/>
    <col min="7688" max="7688" width="11.88671875" customWidth="1"/>
    <col min="7937" max="7937" width="7.77734375" customWidth="1"/>
    <col min="7938" max="7938" width="7.88671875" bestFit="1" customWidth="1"/>
    <col min="7939" max="7939" width="7.88671875" customWidth="1"/>
    <col min="7944" max="7944" width="11.88671875" customWidth="1"/>
    <col min="8193" max="8193" width="7.77734375" customWidth="1"/>
    <col min="8194" max="8194" width="7.88671875" bestFit="1" customWidth="1"/>
    <col min="8195" max="8195" width="7.88671875" customWidth="1"/>
    <col min="8200" max="8200" width="11.88671875" customWidth="1"/>
    <col min="8449" max="8449" width="7.77734375" customWidth="1"/>
    <col min="8450" max="8450" width="7.88671875" bestFit="1" customWidth="1"/>
    <col min="8451" max="8451" width="7.88671875" customWidth="1"/>
    <col min="8456" max="8456" width="11.88671875" customWidth="1"/>
    <col min="8705" max="8705" width="7.77734375" customWidth="1"/>
    <col min="8706" max="8706" width="7.88671875" bestFit="1" customWidth="1"/>
    <col min="8707" max="8707" width="7.88671875" customWidth="1"/>
    <col min="8712" max="8712" width="11.88671875" customWidth="1"/>
    <col min="8961" max="8961" width="7.77734375" customWidth="1"/>
    <col min="8962" max="8962" width="7.88671875" bestFit="1" customWidth="1"/>
    <col min="8963" max="8963" width="7.88671875" customWidth="1"/>
    <col min="8968" max="8968" width="11.88671875" customWidth="1"/>
    <col min="9217" max="9217" width="7.77734375" customWidth="1"/>
    <col min="9218" max="9218" width="7.88671875" bestFit="1" customWidth="1"/>
    <col min="9219" max="9219" width="7.88671875" customWidth="1"/>
    <col min="9224" max="9224" width="11.88671875" customWidth="1"/>
    <col min="9473" max="9473" width="7.77734375" customWidth="1"/>
    <col min="9474" max="9474" width="7.88671875" bestFit="1" customWidth="1"/>
    <col min="9475" max="9475" width="7.88671875" customWidth="1"/>
    <col min="9480" max="9480" width="11.88671875" customWidth="1"/>
    <col min="9729" max="9729" width="7.77734375" customWidth="1"/>
    <col min="9730" max="9730" width="7.88671875" bestFit="1" customWidth="1"/>
    <col min="9731" max="9731" width="7.88671875" customWidth="1"/>
    <col min="9736" max="9736" width="11.88671875" customWidth="1"/>
    <col min="9985" max="9985" width="7.77734375" customWidth="1"/>
    <col min="9986" max="9986" width="7.88671875" bestFit="1" customWidth="1"/>
    <col min="9987" max="9987" width="7.88671875" customWidth="1"/>
    <col min="9992" max="9992" width="11.88671875" customWidth="1"/>
    <col min="10241" max="10241" width="7.77734375" customWidth="1"/>
    <col min="10242" max="10242" width="7.88671875" bestFit="1" customWidth="1"/>
    <col min="10243" max="10243" width="7.88671875" customWidth="1"/>
    <col min="10248" max="10248" width="11.88671875" customWidth="1"/>
    <col min="10497" max="10497" width="7.77734375" customWidth="1"/>
    <col min="10498" max="10498" width="7.88671875" bestFit="1" customWidth="1"/>
    <col min="10499" max="10499" width="7.88671875" customWidth="1"/>
    <col min="10504" max="10504" width="11.88671875" customWidth="1"/>
    <col min="10753" max="10753" width="7.77734375" customWidth="1"/>
    <col min="10754" max="10754" width="7.88671875" bestFit="1" customWidth="1"/>
    <col min="10755" max="10755" width="7.88671875" customWidth="1"/>
    <col min="10760" max="10760" width="11.88671875" customWidth="1"/>
    <col min="11009" max="11009" width="7.77734375" customWidth="1"/>
    <col min="11010" max="11010" width="7.88671875" bestFit="1" customWidth="1"/>
    <col min="11011" max="11011" width="7.88671875" customWidth="1"/>
    <col min="11016" max="11016" width="11.88671875" customWidth="1"/>
    <col min="11265" max="11265" width="7.77734375" customWidth="1"/>
    <col min="11266" max="11266" width="7.88671875" bestFit="1" customWidth="1"/>
    <col min="11267" max="11267" width="7.88671875" customWidth="1"/>
    <col min="11272" max="11272" width="11.88671875" customWidth="1"/>
    <col min="11521" max="11521" width="7.77734375" customWidth="1"/>
    <col min="11522" max="11522" width="7.88671875" bestFit="1" customWidth="1"/>
    <col min="11523" max="11523" width="7.88671875" customWidth="1"/>
    <col min="11528" max="11528" width="11.88671875" customWidth="1"/>
    <col min="11777" max="11777" width="7.77734375" customWidth="1"/>
    <col min="11778" max="11778" width="7.88671875" bestFit="1" customWidth="1"/>
    <col min="11779" max="11779" width="7.88671875" customWidth="1"/>
    <col min="11784" max="11784" width="11.88671875" customWidth="1"/>
    <col min="12033" max="12033" width="7.77734375" customWidth="1"/>
    <col min="12034" max="12034" width="7.88671875" bestFit="1" customWidth="1"/>
    <col min="12035" max="12035" width="7.88671875" customWidth="1"/>
    <col min="12040" max="12040" width="11.88671875" customWidth="1"/>
    <col min="12289" max="12289" width="7.77734375" customWidth="1"/>
    <col min="12290" max="12290" width="7.88671875" bestFit="1" customWidth="1"/>
    <col min="12291" max="12291" width="7.88671875" customWidth="1"/>
    <col min="12296" max="12296" width="11.88671875" customWidth="1"/>
    <col min="12545" max="12545" width="7.77734375" customWidth="1"/>
    <col min="12546" max="12546" width="7.88671875" bestFit="1" customWidth="1"/>
    <col min="12547" max="12547" width="7.88671875" customWidth="1"/>
    <col min="12552" max="12552" width="11.88671875" customWidth="1"/>
    <col min="12801" max="12801" width="7.77734375" customWidth="1"/>
    <col min="12802" max="12802" width="7.88671875" bestFit="1" customWidth="1"/>
    <col min="12803" max="12803" width="7.88671875" customWidth="1"/>
    <col min="12808" max="12808" width="11.88671875" customWidth="1"/>
    <col min="13057" max="13057" width="7.77734375" customWidth="1"/>
    <col min="13058" max="13058" width="7.88671875" bestFit="1" customWidth="1"/>
    <col min="13059" max="13059" width="7.88671875" customWidth="1"/>
    <col min="13064" max="13064" width="11.88671875" customWidth="1"/>
    <col min="13313" max="13313" width="7.77734375" customWidth="1"/>
    <col min="13314" max="13314" width="7.88671875" bestFit="1" customWidth="1"/>
    <col min="13315" max="13315" width="7.88671875" customWidth="1"/>
    <col min="13320" max="13320" width="11.88671875" customWidth="1"/>
    <col min="13569" max="13569" width="7.77734375" customWidth="1"/>
    <col min="13570" max="13570" width="7.88671875" bestFit="1" customWidth="1"/>
    <col min="13571" max="13571" width="7.88671875" customWidth="1"/>
    <col min="13576" max="13576" width="11.88671875" customWidth="1"/>
    <col min="13825" max="13825" width="7.77734375" customWidth="1"/>
    <col min="13826" max="13826" width="7.88671875" bestFit="1" customWidth="1"/>
    <col min="13827" max="13827" width="7.88671875" customWidth="1"/>
    <col min="13832" max="13832" width="11.88671875" customWidth="1"/>
    <col min="14081" max="14081" width="7.77734375" customWidth="1"/>
    <col min="14082" max="14082" width="7.88671875" bestFit="1" customWidth="1"/>
    <col min="14083" max="14083" width="7.88671875" customWidth="1"/>
    <col min="14088" max="14088" width="11.88671875" customWidth="1"/>
    <col min="14337" max="14337" width="7.77734375" customWidth="1"/>
    <col min="14338" max="14338" width="7.88671875" bestFit="1" customWidth="1"/>
    <col min="14339" max="14339" width="7.88671875" customWidth="1"/>
    <col min="14344" max="14344" width="11.88671875" customWidth="1"/>
    <col min="14593" max="14593" width="7.77734375" customWidth="1"/>
    <col min="14594" max="14594" width="7.88671875" bestFit="1" customWidth="1"/>
    <col min="14595" max="14595" width="7.88671875" customWidth="1"/>
    <col min="14600" max="14600" width="11.88671875" customWidth="1"/>
    <col min="14849" max="14849" width="7.77734375" customWidth="1"/>
    <col min="14850" max="14850" width="7.88671875" bestFit="1" customWidth="1"/>
    <col min="14851" max="14851" width="7.88671875" customWidth="1"/>
    <col min="14856" max="14856" width="11.88671875" customWidth="1"/>
    <col min="15105" max="15105" width="7.77734375" customWidth="1"/>
    <col min="15106" max="15106" width="7.88671875" bestFit="1" customWidth="1"/>
    <col min="15107" max="15107" width="7.88671875" customWidth="1"/>
    <col min="15112" max="15112" width="11.88671875" customWidth="1"/>
    <col min="15361" max="15361" width="7.77734375" customWidth="1"/>
    <col min="15362" max="15362" width="7.88671875" bestFit="1" customWidth="1"/>
    <col min="15363" max="15363" width="7.88671875" customWidth="1"/>
    <col min="15368" max="15368" width="11.88671875" customWidth="1"/>
    <col min="15617" max="15617" width="7.77734375" customWidth="1"/>
    <col min="15618" max="15618" width="7.88671875" bestFit="1" customWidth="1"/>
    <col min="15619" max="15619" width="7.88671875" customWidth="1"/>
    <col min="15624" max="15624" width="11.88671875" customWidth="1"/>
    <col min="15873" max="15873" width="7.77734375" customWidth="1"/>
    <col min="15874" max="15874" width="7.88671875" bestFit="1" customWidth="1"/>
    <col min="15875" max="15875" width="7.88671875" customWidth="1"/>
    <col min="15880" max="15880" width="11.88671875" customWidth="1"/>
    <col min="16129" max="16129" width="7.77734375" customWidth="1"/>
    <col min="16130" max="16130" width="7.88671875" bestFit="1" customWidth="1"/>
    <col min="16131" max="16131" width="7.88671875" customWidth="1"/>
    <col min="16136" max="16136" width="11.88671875" customWidth="1"/>
  </cols>
  <sheetData>
    <row r="1" spans="1:11" customFormat="1" x14ac:dyDescent="0.2">
      <c r="A1" s="222" t="s">
        <v>273</v>
      </c>
      <c r="B1" s="222"/>
      <c r="C1" s="222"/>
      <c r="D1" s="222"/>
      <c r="E1" s="222"/>
      <c r="F1" s="222"/>
      <c r="G1" s="222"/>
      <c r="H1" s="222"/>
      <c r="I1" s="51"/>
      <c r="J1" s="51"/>
      <c r="K1" s="51"/>
    </row>
    <row r="2" spans="1:11" customFormat="1" ht="35.25" customHeight="1" thickBot="1" x14ac:dyDescent="0.25">
      <c r="A2" s="222"/>
      <c r="B2" s="222"/>
      <c r="C2" s="222"/>
      <c r="D2" s="222"/>
      <c r="E2" s="222"/>
      <c r="F2" s="222"/>
      <c r="G2" s="222"/>
      <c r="H2" s="222"/>
      <c r="I2" s="51"/>
      <c r="J2" s="51"/>
      <c r="K2" s="51"/>
    </row>
    <row r="3" spans="1:11" customFormat="1" ht="27.75" customHeight="1" thickBot="1" x14ac:dyDescent="0.25">
      <c r="A3" s="223" t="s">
        <v>274</v>
      </c>
      <c r="B3" s="224"/>
      <c r="C3" s="224"/>
      <c r="D3" s="225" t="s">
        <v>275</v>
      </c>
      <c r="E3" s="225"/>
      <c r="F3" s="225"/>
      <c r="G3" s="225"/>
      <c r="H3" s="226"/>
      <c r="I3" s="51"/>
      <c r="J3" s="51"/>
      <c r="K3" s="51"/>
    </row>
    <row r="4" spans="1:11" s="51" customFormat="1" ht="21" customHeight="1" thickBot="1" x14ac:dyDescent="0.35">
      <c r="A4" s="227" t="s">
        <v>4</v>
      </c>
      <c r="B4" s="228"/>
      <c r="C4" s="228"/>
      <c r="D4" s="229" t="s">
        <v>5</v>
      </c>
      <c r="E4" s="229"/>
      <c r="F4" s="229"/>
      <c r="G4" s="229"/>
      <c r="H4" s="230" t="s">
        <v>6</v>
      </c>
    </row>
    <row r="5" spans="1:11" s="51" customFormat="1" ht="19.5" customHeight="1" thickBot="1" x14ac:dyDescent="0.25">
      <c r="A5" s="52" t="s">
        <v>276</v>
      </c>
      <c r="B5" s="53" t="s">
        <v>8</v>
      </c>
      <c r="C5" s="53" t="s">
        <v>9</v>
      </c>
      <c r="D5" s="53" t="s">
        <v>10</v>
      </c>
      <c r="E5" s="53" t="s">
        <v>11</v>
      </c>
      <c r="F5" s="53" t="s">
        <v>12</v>
      </c>
      <c r="G5" s="53" t="s">
        <v>277</v>
      </c>
      <c r="H5" s="231"/>
      <c r="I5" s="54"/>
      <c r="J5" s="54"/>
      <c r="K5" s="55"/>
    </row>
    <row r="6" spans="1:11" s="51" customFormat="1" ht="15.75" thickBot="1" x14ac:dyDescent="0.25">
      <c r="A6" s="56" t="s">
        <v>14</v>
      </c>
      <c r="B6" s="57"/>
      <c r="C6" s="57"/>
      <c r="D6" s="57"/>
      <c r="E6" s="57"/>
      <c r="F6" s="57"/>
      <c r="G6" s="57"/>
      <c r="H6" s="58"/>
      <c r="I6" s="54"/>
      <c r="J6" s="54"/>
      <c r="K6" s="55"/>
    </row>
    <row r="7" spans="1:11" s="51" customFormat="1" x14ac:dyDescent="0.2">
      <c r="A7" s="139" t="s">
        <v>81</v>
      </c>
      <c r="B7" s="158">
        <f>[76]Jan2000!$C$20</f>
        <v>1.2170714285714286</v>
      </c>
      <c r="C7" s="159">
        <f>100*B7/B$7</f>
        <v>100</v>
      </c>
      <c r="D7" s="159"/>
      <c r="E7" s="159"/>
      <c r="F7" s="159"/>
      <c r="G7" s="160"/>
      <c r="H7" s="161">
        <f>+B$226/B7</f>
        <v>3.4574798990551088</v>
      </c>
      <c r="I7" s="55"/>
      <c r="J7" s="55"/>
      <c r="K7" s="55"/>
    </row>
    <row r="8" spans="1:11" s="51" customFormat="1" x14ac:dyDescent="0.2">
      <c r="A8" s="141" t="s">
        <v>82</v>
      </c>
      <c r="B8" s="162">
        <f>[76]Fev2000!C20</f>
        <v>1.23</v>
      </c>
      <c r="C8" s="163">
        <f t="shared" ref="C8:C106" si="0">100*B8/B$7</f>
        <v>101.06226891249486</v>
      </c>
      <c r="D8" s="164">
        <f t="shared" ref="D8:D49" si="1">100*(B8/B7-1)</f>
        <v>1.062268912494857</v>
      </c>
      <c r="E8" s="163"/>
      <c r="F8" s="163"/>
      <c r="G8" s="165"/>
      <c r="H8" s="166">
        <f>+B$226/B8</f>
        <v>3.421138211382114</v>
      </c>
      <c r="I8" s="55"/>
      <c r="J8" s="55"/>
      <c r="K8" s="55"/>
    </row>
    <row r="9" spans="1:11" s="51" customFormat="1" x14ac:dyDescent="0.2">
      <c r="A9" s="141" t="s">
        <v>83</v>
      </c>
      <c r="B9" s="162">
        <f>[76]Mar2000!$C$20</f>
        <v>1.2675333333333332</v>
      </c>
      <c r="C9" s="163">
        <f t="shared" si="0"/>
        <v>104.14617446250756</v>
      </c>
      <c r="D9" s="164">
        <f t="shared" si="1"/>
        <v>3.0514905149051419</v>
      </c>
      <c r="E9" s="163"/>
      <c r="F9" s="163"/>
      <c r="G9" s="165"/>
      <c r="H9" s="166">
        <f t="shared" ref="H9:H72" si="2">+B$226/B9</f>
        <v>3.3198337979277341</v>
      </c>
      <c r="I9" s="55"/>
      <c r="J9" s="55"/>
      <c r="K9" s="55"/>
    </row>
    <row r="10" spans="1:11" s="51" customFormat="1" x14ac:dyDescent="0.2">
      <c r="A10" s="141" t="s">
        <v>84</v>
      </c>
      <c r="B10" s="162">
        <f>[76]Abril2000!$C$18</f>
        <v>1.2675333333333332</v>
      </c>
      <c r="C10" s="163">
        <f t="shared" si="0"/>
        <v>104.14617446250756</v>
      </c>
      <c r="D10" s="164">
        <f t="shared" si="1"/>
        <v>0</v>
      </c>
      <c r="E10" s="163"/>
      <c r="F10" s="163"/>
      <c r="G10" s="165"/>
      <c r="H10" s="166">
        <f t="shared" si="2"/>
        <v>3.3198337979277341</v>
      </c>
      <c r="I10" s="55"/>
      <c r="J10" s="55"/>
      <c r="K10" s="55"/>
    </row>
    <row r="11" spans="1:11" s="51" customFormat="1" x14ac:dyDescent="0.2">
      <c r="A11" s="141" t="s">
        <v>85</v>
      </c>
      <c r="B11" s="162">
        <f>[76]Maio2000!$C$18</f>
        <v>1.2522666666666666</v>
      </c>
      <c r="C11" s="163">
        <f t="shared" si="0"/>
        <v>102.89179724944734</v>
      </c>
      <c r="D11" s="164">
        <f t="shared" si="1"/>
        <v>-1.2044390680060912</v>
      </c>
      <c r="E11" s="163"/>
      <c r="F11" s="163"/>
      <c r="G11" s="165"/>
      <c r="H11" s="166">
        <f t="shared" si="2"/>
        <v>3.3603066439522999</v>
      </c>
      <c r="I11" s="55"/>
      <c r="J11" s="55"/>
      <c r="K11" s="55"/>
    </row>
    <row r="12" spans="1:11" s="51" customFormat="1" x14ac:dyDescent="0.2">
      <c r="A12" s="141" t="s">
        <v>86</v>
      </c>
      <c r="B12" s="162">
        <f>[76]Junho2000!$C$18</f>
        <v>1.2475999999999998</v>
      </c>
      <c r="C12" s="163">
        <f t="shared" si="0"/>
        <v>102.50836316685249</v>
      </c>
      <c r="D12" s="164">
        <f t="shared" si="1"/>
        <v>-0.37265758091994394</v>
      </c>
      <c r="E12" s="163"/>
      <c r="F12" s="163"/>
      <c r="G12" s="165"/>
      <c r="H12" s="166">
        <f t="shared" si="2"/>
        <v>3.3728759217697988</v>
      </c>
      <c r="I12" s="55"/>
      <c r="J12" s="55"/>
      <c r="K12" s="55"/>
    </row>
    <row r="13" spans="1:11" s="51" customFormat="1" x14ac:dyDescent="0.2">
      <c r="A13" s="141" t="s">
        <v>87</v>
      </c>
      <c r="B13" s="162">
        <f>[76]Julho2000!$C$16</f>
        <v>1.4430000000000001</v>
      </c>
      <c r="C13" s="163">
        <f t="shared" si="0"/>
        <v>118.56329596807325</v>
      </c>
      <c r="D13" s="164">
        <f t="shared" si="1"/>
        <v>15.662071176659209</v>
      </c>
      <c r="E13" s="163"/>
      <c r="F13" s="163"/>
      <c r="G13" s="165"/>
      <c r="H13" s="166">
        <f t="shared" si="2"/>
        <v>2.916146916146916</v>
      </c>
      <c r="I13" s="55"/>
      <c r="J13" s="55"/>
      <c r="K13" s="55"/>
    </row>
    <row r="14" spans="1:11" s="51" customFormat="1" x14ac:dyDescent="0.2">
      <c r="A14" s="141" t="s">
        <v>88</v>
      </c>
      <c r="B14" s="162">
        <f>[76]Agosto2000!$C$16</f>
        <v>1.5021538461538457</v>
      </c>
      <c r="C14" s="163">
        <f t="shared" si="0"/>
        <v>123.42363898206374</v>
      </c>
      <c r="D14" s="164">
        <f t="shared" si="1"/>
        <v>4.0993656378271348</v>
      </c>
      <c r="E14" s="163"/>
      <c r="F14" s="163"/>
      <c r="G14" s="165"/>
      <c r="H14" s="166">
        <f t="shared" si="2"/>
        <v>2.8013109381401073</v>
      </c>
      <c r="I14" s="55"/>
      <c r="J14" s="55"/>
      <c r="K14" s="55"/>
    </row>
    <row r="15" spans="1:11" s="51" customFormat="1" x14ac:dyDescent="0.2">
      <c r="A15" s="141" t="s">
        <v>89</v>
      </c>
      <c r="B15" s="162">
        <f>[76]Setembro2000!$C$18</f>
        <v>1.5067692307692306</v>
      </c>
      <c r="C15" s="163">
        <f t="shared" si="0"/>
        <v>123.8028595033114</v>
      </c>
      <c r="D15" s="164">
        <f t="shared" si="1"/>
        <v>0.30725112658749332</v>
      </c>
      <c r="E15" s="163"/>
      <c r="F15" s="163"/>
      <c r="G15" s="165"/>
      <c r="H15" s="166">
        <f t="shared" si="2"/>
        <v>2.7927302430059222</v>
      </c>
      <c r="I15" s="59"/>
      <c r="J15" s="55"/>
      <c r="K15" s="55"/>
    </row>
    <row r="16" spans="1:11" s="51" customFormat="1" x14ac:dyDescent="0.2">
      <c r="A16" s="141" t="s">
        <v>90</v>
      </c>
      <c r="B16" s="162">
        <f>[76]Outubro2000!$C$18</f>
        <v>1.5129230769230766</v>
      </c>
      <c r="C16" s="163">
        <f t="shared" si="0"/>
        <v>124.30848686497488</v>
      </c>
      <c r="D16" s="164">
        <f t="shared" si="1"/>
        <v>0.40841331427403649</v>
      </c>
      <c r="E16" s="163"/>
      <c r="F16" s="163"/>
      <c r="G16" s="165"/>
      <c r="H16" s="166">
        <f t="shared" si="2"/>
        <v>2.7813707545251178</v>
      </c>
      <c r="I16" s="59"/>
      <c r="J16" s="55"/>
      <c r="K16" s="55"/>
    </row>
    <row r="17" spans="1:11" s="51" customFormat="1" x14ac:dyDescent="0.2">
      <c r="A17" s="141" t="s">
        <v>91</v>
      </c>
      <c r="B17" s="162">
        <f>[76]Novembro2000!$C$18</f>
        <v>1.5084615384615385</v>
      </c>
      <c r="C17" s="163">
        <f t="shared" si="0"/>
        <v>123.94190702776886</v>
      </c>
      <c r="D17" s="164">
        <f t="shared" si="1"/>
        <v>-0.29489526133819055</v>
      </c>
      <c r="E17" s="163"/>
      <c r="F17" s="163"/>
      <c r="G17" s="165"/>
      <c r="H17" s="166">
        <f t="shared" si="2"/>
        <v>2.7895971443141256</v>
      </c>
      <c r="I17" s="59"/>
      <c r="J17" s="55"/>
      <c r="K17" s="55"/>
    </row>
    <row r="18" spans="1:11" s="51" customFormat="1" x14ac:dyDescent="0.2">
      <c r="A18" s="141" t="s">
        <v>92</v>
      </c>
      <c r="B18" s="162">
        <f>[76]Dezembro2000!$C$18</f>
        <v>1.5152307692307692</v>
      </c>
      <c r="C18" s="163">
        <f t="shared" si="0"/>
        <v>124.49809712559875</v>
      </c>
      <c r="D18" s="164">
        <f t="shared" si="1"/>
        <v>0.44875063742988441</v>
      </c>
      <c r="E18" s="163"/>
      <c r="F18" s="163"/>
      <c r="G18" s="165"/>
      <c r="H18" s="166">
        <f t="shared" si="2"/>
        <v>2.7771347344908115</v>
      </c>
      <c r="I18" s="59"/>
      <c r="J18" s="55"/>
      <c r="K18" s="55"/>
    </row>
    <row r="19" spans="1:11" s="51" customFormat="1" x14ac:dyDescent="0.2">
      <c r="A19" s="141" t="s">
        <v>93</v>
      </c>
      <c r="B19" s="162">
        <f>[77]Jan2001!$C$17</f>
        <v>1.64825</v>
      </c>
      <c r="C19" s="163">
        <f t="shared" si="0"/>
        <v>135.42754856505661</v>
      </c>
      <c r="D19" s="164">
        <f t="shared" si="1"/>
        <v>8.7788100314752704</v>
      </c>
      <c r="E19" s="164">
        <f>100*(B19/$B$18-1)</f>
        <v>8.7788100314752704</v>
      </c>
      <c r="F19" s="167">
        <f t="shared" ref="F19:F48" si="3">(100*(B19/B7-1))</f>
        <v>35.427548565056632</v>
      </c>
      <c r="G19" s="168"/>
      <c r="H19" s="166">
        <f t="shared" si="2"/>
        <v>2.5530107689974217</v>
      </c>
      <c r="I19" s="59"/>
      <c r="J19" s="55"/>
      <c r="K19" s="55"/>
    </row>
    <row r="20" spans="1:11" s="51" customFormat="1" x14ac:dyDescent="0.2">
      <c r="A20" s="141" t="s">
        <v>94</v>
      </c>
      <c r="B20" s="162">
        <f>[77]Fev2001!$C$18</f>
        <v>1.5918461538461537</v>
      </c>
      <c r="C20" s="163">
        <f t="shared" si="0"/>
        <v>130.79315777830948</v>
      </c>
      <c r="D20" s="164">
        <f t="shared" si="1"/>
        <v>-3.4220443594021765</v>
      </c>
      <c r="E20" s="164">
        <f t="shared" ref="E20:E30" si="4">100*(B20/$B$18-1)</f>
        <v>5.0563508985683736</v>
      </c>
      <c r="F20" s="167">
        <f t="shared" si="3"/>
        <v>29.418386491557214</v>
      </c>
      <c r="G20" s="168"/>
      <c r="H20" s="166">
        <f t="shared" si="2"/>
        <v>2.6434715376437619</v>
      </c>
      <c r="I20" s="59"/>
      <c r="J20" s="55"/>
      <c r="K20" s="55"/>
    </row>
    <row r="21" spans="1:11" s="51" customFormat="1" x14ac:dyDescent="0.2">
      <c r="A21" s="141" t="s">
        <v>95</v>
      </c>
      <c r="B21" s="162">
        <f>[77]Março2001!$C$17</f>
        <v>1.6490833333333335</v>
      </c>
      <c r="C21" s="163">
        <f t="shared" si="0"/>
        <v>135.49601893694859</v>
      </c>
      <c r="D21" s="164">
        <f t="shared" si="1"/>
        <v>3.5956476917625269</v>
      </c>
      <c r="E21" s="164">
        <f t="shared" si="4"/>
        <v>8.8338071547027006</v>
      </c>
      <c r="F21" s="167">
        <f t="shared" si="3"/>
        <v>30.101772471466926</v>
      </c>
      <c r="G21" s="168"/>
      <c r="H21" s="166">
        <f t="shared" si="2"/>
        <v>2.5517206528879681</v>
      </c>
      <c r="I21" s="59"/>
      <c r="J21" s="55"/>
      <c r="K21" s="55"/>
    </row>
    <row r="22" spans="1:11" s="51" customFormat="1" x14ac:dyDescent="0.2">
      <c r="A22" s="141" t="s">
        <v>96</v>
      </c>
      <c r="B22" s="162">
        <f>[77]abril2001!$C$17</f>
        <v>1.6061666666666667</v>
      </c>
      <c r="C22" s="163">
        <f t="shared" si="0"/>
        <v>131.96979478451397</v>
      </c>
      <c r="D22" s="164">
        <f t="shared" si="1"/>
        <v>-2.6024559098489108</v>
      </c>
      <c r="E22" s="164">
        <f t="shared" si="4"/>
        <v>6.0014553084915656</v>
      </c>
      <c r="F22" s="167">
        <f t="shared" si="3"/>
        <v>26.715931204965049</v>
      </c>
      <c r="G22" s="168"/>
      <c r="H22" s="166">
        <f t="shared" si="2"/>
        <v>2.6199024592715574</v>
      </c>
      <c r="I22" s="55"/>
      <c r="J22" s="55"/>
      <c r="K22" s="55"/>
    </row>
    <row r="23" spans="1:11" s="51" customFormat="1" x14ac:dyDescent="0.2">
      <c r="A23" s="141" t="s">
        <v>97</v>
      </c>
      <c r="B23" s="162">
        <f>[77]Maio2001!$C$18</f>
        <v>1.5918461538461537</v>
      </c>
      <c r="C23" s="163">
        <f t="shared" si="0"/>
        <v>130.79315777830948</v>
      </c>
      <c r="D23" s="164">
        <f t="shared" si="1"/>
        <v>-0.89159569288241869</v>
      </c>
      <c r="E23" s="164">
        <f t="shared" si="4"/>
        <v>5.0563508985683736</v>
      </c>
      <c r="F23" s="167">
        <f t="shared" si="3"/>
        <v>27.117186476215437</v>
      </c>
      <c r="G23" s="168"/>
      <c r="H23" s="166">
        <f t="shared" si="2"/>
        <v>2.6434715376437619</v>
      </c>
      <c r="I23" s="55"/>
      <c r="J23" s="55"/>
      <c r="K23" s="55"/>
    </row>
    <row r="24" spans="1:11" s="51" customFormat="1" x14ac:dyDescent="0.2">
      <c r="A24" s="141" t="s">
        <v>98</v>
      </c>
      <c r="B24" s="162">
        <f>[77]Junho2001!$C$18</f>
        <v>1.5865384615384615</v>
      </c>
      <c r="C24" s="163">
        <f t="shared" si="0"/>
        <v>130.35705417887468</v>
      </c>
      <c r="D24" s="164">
        <f t="shared" si="1"/>
        <v>-0.33342997970425836</v>
      </c>
      <c r="E24" s="164">
        <f t="shared" si="4"/>
        <v>4.706061529089256</v>
      </c>
      <c r="F24" s="167">
        <f t="shared" si="3"/>
        <v>27.16723802007548</v>
      </c>
      <c r="G24" s="168"/>
      <c r="H24" s="166">
        <f t="shared" si="2"/>
        <v>2.6523151515151517</v>
      </c>
      <c r="I24" s="55"/>
      <c r="J24" s="55"/>
      <c r="K24" s="55"/>
    </row>
    <row r="25" spans="1:11" s="51" customFormat="1" x14ac:dyDescent="0.2">
      <c r="A25" s="141" t="s">
        <v>99</v>
      </c>
      <c r="B25" s="169">
        <f>[77]Julho2001!$C$18</f>
        <v>1.7111538461538462</v>
      </c>
      <c r="C25" s="163">
        <f t="shared" si="0"/>
        <v>140.59600825256086</v>
      </c>
      <c r="D25" s="164">
        <f t="shared" si="1"/>
        <v>7.8545454545454696</v>
      </c>
      <c r="E25" s="164">
        <f t="shared" si="4"/>
        <v>12.930246725555916</v>
      </c>
      <c r="F25" s="167">
        <f t="shared" si="3"/>
        <v>18.583080121541663</v>
      </c>
      <c r="G25" s="168"/>
      <c r="H25" s="166">
        <f t="shared" si="2"/>
        <v>2.4591593616543044</v>
      </c>
      <c r="I25" s="55"/>
      <c r="J25" s="55"/>
      <c r="K25" s="55"/>
    </row>
    <row r="26" spans="1:11" s="51" customFormat="1" x14ac:dyDescent="0.2">
      <c r="A26" s="141" t="s">
        <v>100</v>
      </c>
      <c r="B26" s="169">
        <f>[77]Agosto2001!$C$18</f>
        <v>1.6990769230769232</v>
      </c>
      <c r="C26" s="163">
        <f t="shared" si="0"/>
        <v>139.60371455529622</v>
      </c>
      <c r="D26" s="164">
        <f t="shared" si="1"/>
        <v>-0.70577657900652291</v>
      </c>
      <c r="E26" s="164">
        <f t="shared" si="4"/>
        <v>12.133211493552665</v>
      </c>
      <c r="F26" s="167">
        <f t="shared" si="3"/>
        <v>13.109381401065168</v>
      </c>
      <c r="G26" s="168"/>
      <c r="H26" s="166">
        <f t="shared" si="2"/>
        <v>2.4766388989496559</v>
      </c>
      <c r="I26" s="55"/>
      <c r="J26" s="55"/>
      <c r="K26" s="55"/>
    </row>
    <row r="27" spans="1:11" s="51" customFormat="1" x14ac:dyDescent="0.2">
      <c r="A27" s="141" t="s">
        <v>101</v>
      </c>
      <c r="B27" s="162">
        <f>[77]setembro2001!$C$18</f>
        <v>1.7085384615384618</v>
      </c>
      <c r="C27" s="163">
        <f t="shared" si="0"/>
        <v>140.3811166238539</v>
      </c>
      <c r="D27" s="164">
        <f t="shared" si="1"/>
        <v>0.55686345526984038</v>
      </c>
      <c r="E27" s="164">
        <f t="shared" si="4"/>
        <v>12.757640369580692</v>
      </c>
      <c r="F27" s="167">
        <f t="shared" si="3"/>
        <v>13.390851541760295</v>
      </c>
      <c r="G27" s="168"/>
      <c r="H27" s="166">
        <f t="shared" si="2"/>
        <v>2.4629237765071359</v>
      </c>
      <c r="I27" s="55"/>
      <c r="J27" s="55"/>
      <c r="K27" s="55"/>
    </row>
    <row r="28" spans="1:11" s="51" customFormat="1" x14ac:dyDescent="0.2">
      <c r="A28" s="141" t="s">
        <v>102</v>
      </c>
      <c r="B28" s="162">
        <f>[77]outubro2001!$C$18</f>
        <v>1.7085384615384618</v>
      </c>
      <c r="C28" s="163">
        <f t="shared" si="0"/>
        <v>140.3811166238539</v>
      </c>
      <c r="D28" s="164">
        <f t="shared" si="1"/>
        <v>0</v>
      </c>
      <c r="E28" s="164">
        <f t="shared" si="4"/>
        <v>12.757640369580692</v>
      </c>
      <c r="F28" s="167">
        <f t="shared" si="3"/>
        <v>12.929631889363469</v>
      </c>
      <c r="G28" s="168"/>
      <c r="H28" s="166">
        <f t="shared" si="2"/>
        <v>2.4629237765071359</v>
      </c>
      <c r="I28" s="55"/>
      <c r="J28" s="55"/>
      <c r="K28" s="55"/>
    </row>
    <row r="29" spans="1:11" s="51" customFormat="1" x14ac:dyDescent="0.2">
      <c r="A29" s="141" t="s">
        <v>103</v>
      </c>
      <c r="B29" s="162">
        <f>[77]Novembro2001!$C$18</f>
        <v>1.7375384615384617</v>
      </c>
      <c r="C29" s="163">
        <f t="shared" si="0"/>
        <v>142.76388556569322</v>
      </c>
      <c r="D29" s="164">
        <f t="shared" si="1"/>
        <v>1.697357165368496</v>
      </c>
      <c r="E29" s="164">
        <f t="shared" si="4"/>
        <v>14.671540257894211</v>
      </c>
      <c r="F29" s="167">
        <f t="shared" si="3"/>
        <v>15.186129525752179</v>
      </c>
      <c r="G29" s="168"/>
      <c r="H29" s="166">
        <f t="shared" si="2"/>
        <v>2.4218168939259783</v>
      </c>
      <c r="I29" s="59"/>
      <c r="J29" s="55"/>
      <c r="K29" s="55"/>
    </row>
    <row r="30" spans="1:11" s="51" customFormat="1" x14ac:dyDescent="0.2">
      <c r="A30" s="141" t="s">
        <v>104</v>
      </c>
      <c r="B30" s="162">
        <f>[77]Dezembro2001!$C$18</f>
        <v>1.7398461538461538</v>
      </c>
      <c r="C30" s="163">
        <f t="shared" si="0"/>
        <v>142.95349582631701</v>
      </c>
      <c r="D30" s="164">
        <f t="shared" si="1"/>
        <v>0.13281388347794465</v>
      </c>
      <c r="E30" s="164">
        <f t="shared" si="4"/>
        <v>14.823839983754695</v>
      </c>
      <c r="F30" s="167">
        <f t="shared" si="3"/>
        <v>14.823839983754695</v>
      </c>
      <c r="G30" s="168"/>
      <c r="H30" s="166">
        <f t="shared" si="2"/>
        <v>2.418604651162791</v>
      </c>
      <c r="I30" s="55"/>
      <c r="J30" s="55"/>
      <c r="K30" s="55"/>
    </row>
    <row r="31" spans="1:11" s="51" customFormat="1" x14ac:dyDescent="0.2">
      <c r="A31" s="141" t="s">
        <v>105</v>
      </c>
      <c r="B31" s="162">
        <f>[78]Jan02!$C$18</f>
        <v>1.5614000000000001</v>
      </c>
      <c r="C31" s="163">
        <f t="shared" si="0"/>
        <v>128.29156640647926</v>
      </c>
      <c r="D31" s="164">
        <f t="shared" si="1"/>
        <v>-10.25643292952515</v>
      </c>
      <c r="E31" s="164">
        <f>100*(B31/$B$30-1)</f>
        <v>-10.25643292952515</v>
      </c>
      <c r="F31" s="167">
        <f t="shared" si="3"/>
        <v>-5.2692249355376859</v>
      </c>
      <c r="G31" s="170">
        <f t="shared" ref="G31:G48" si="5">100*(B31/B7-1)</f>
        <v>28.291566406479252</v>
      </c>
      <c r="H31" s="166">
        <f t="shared" si="2"/>
        <v>2.6950172921736901</v>
      </c>
      <c r="I31" s="55"/>
      <c r="J31" s="55"/>
      <c r="K31" s="55"/>
    </row>
    <row r="32" spans="1:11" s="51" customFormat="1" x14ac:dyDescent="0.2">
      <c r="A32" s="141" t="s">
        <v>106</v>
      </c>
      <c r="B32" s="162">
        <f>[78]Fevereiro02!$C$18</f>
        <v>1.5644</v>
      </c>
      <c r="C32" s="163">
        <f t="shared" si="0"/>
        <v>128.53805974529021</v>
      </c>
      <c r="D32" s="164">
        <f t="shared" si="1"/>
        <v>0.1921352632253015</v>
      </c>
      <c r="E32" s="164">
        <f t="shared" ref="E32:E42" si="6">100*(B32/$B$30-1)</f>
        <v>-10.084003890706516</v>
      </c>
      <c r="F32" s="167">
        <f t="shared" si="3"/>
        <v>-1.724171257369278</v>
      </c>
      <c r="G32" s="170">
        <f t="shared" si="5"/>
        <v>27.186991869918707</v>
      </c>
      <c r="H32" s="166">
        <f t="shared" si="2"/>
        <v>2.6898491434415752</v>
      </c>
      <c r="I32" s="55"/>
      <c r="J32" s="55"/>
      <c r="K32" s="55"/>
    </row>
    <row r="33" spans="1:11" s="51" customFormat="1" x14ac:dyDescent="0.2">
      <c r="A33" s="141" t="s">
        <v>107</v>
      </c>
      <c r="B33" s="162">
        <f>[78]Março02!$C$17</f>
        <v>1.6429166666666666</v>
      </c>
      <c r="C33" s="163">
        <f t="shared" si="0"/>
        <v>134.98933818494825</v>
      </c>
      <c r="D33" s="164">
        <f t="shared" si="1"/>
        <v>5.0189636069206456</v>
      </c>
      <c r="E33" s="164">
        <f t="shared" si="6"/>
        <v>-5.5711527691808875</v>
      </c>
      <c r="F33" s="167">
        <f t="shared" si="3"/>
        <v>-0.37394512102684185</v>
      </c>
      <c r="G33" s="170">
        <f t="shared" si="5"/>
        <v>29.615263240940415</v>
      </c>
      <c r="H33" s="166">
        <f t="shared" si="2"/>
        <v>2.5612985036774032</v>
      </c>
      <c r="I33" s="55"/>
      <c r="J33" s="55"/>
      <c r="K33" s="55"/>
    </row>
    <row r="34" spans="1:11" s="51" customFormat="1" x14ac:dyDescent="0.2">
      <c r="A34" s="141" t="s">
        <v>108</v>
      </c>
      <c r="B34" s="162">
        <f>[78]Abril02!$C$17</f>
        <v>1.6612499999999999</v>
      </c>
      <c r="C34" s="163">
        <f t="shared" si="0"/>
        <v>136.49568636657079</v>
      </c>
      <c r="D34" s="164">
        <f t="shared" si="1"/>
        <v>1.1159015977681985</v>
      </c>
      <c r="E34" s="164">
        <f t="shared" si="6"/>
        <v>-4.517419754178098</v>
      </c>
      <c r="F34" s="167">
        <f t="shared" si="3"/>
        <v>3.4294905053439795</v>
      </c>
      <c r="G34" s="170">
        <f t="shared" si="5"/>
        <v>31.061642034397519</v>
      </c>
      <c r="H34" s="166">
        <f t="shared" si="2"/>
        <v>2.5330323551542517</v>
      </c>
      <c r="I34" s="55"/>
      <c r="J34" s="55"/>
      <c r="K34" s="55"/>
    </row>
    <row r="35" spans="1:11" s="51" customFormat="1" x14ac:dyDescent="0.2">
      <c r="A35" s="141" t="s">
        <v>109</v>
      </c>
      <c r="B35" s="162">
        <f>[78]Maio02!$C$19</f>
        <v>1.7248461538461537</v>
      </c>
      <c r="C35" s="163">
        <f t="shared" si="0"/>
        <v>141.72102913226217</v>
      </c>
      <c r="D35" s="164">
        <f t="shared" si="1"/>
        <v>3.8282109162470324</v>
      </c>
      <c r="E35" s="164">
        <f t="shared" si="6"/>
        <v>-0.86214519409321122</v>
      </c>
      <c r="F35" s="167">
        <f t="shared" si="3"/>
        <v>8.3550787667923121</v>
      </c>
      <c r="G35" s="170">
        <f t="shared" si="5"/>
        <v>37.737927532433481</v>
      </c>
      <c r="H35" s="166">
        <f t="shared" si="2"/>
        <v>2.439637871828034</v>
      </c>
      <c r="I35" s="55"/>
      <c r="J35" s="55"/>
      <c r="K35" s="55"/>
    </row>
    <row r="36" spans="1:11" s="51" customFormat="1" x14ac:dyDescent="0.2">
      <c r="A36" s="141" t="s">
        <v>110</v>
      </c>
      <c r="B36" s="162">
        <f>[78]Junho02!$C$19</f>
        <v>1.7330000000000001</v>
      </c>
      <c r="C36" s="163">
        <f t="shared" si="0"/>
        <v>142.39098538646635</v>
      </c>
      <c r="D36" s="164">
        <f t="shared" si="1"/>
        <v>0.47272889443876753</v>
      </c>
      <c r="E36" s="164">
        <f t="shared" si="6"/>
        <v>-0.39349190909894194</v>
      </c>
      <c r="F36" s="167">
        <f t="shared" si="3"/>
        <v>9.2315151515151683</v>
      </c>
      <c r="G36" s="170">
        <f t="shared" si="5"/>
        <v>38.906700865662103</v>
      </c>
      <c r="H36" s="166">
        <f t="shared" si="2"/>
        <v>2.4281592613964222</v>
      </c>
      <c r="I36" s="55"/>
      <c r="J36" s="55"/>
      <c r="K36" s="55"/>
    </row>
    <row r="37" spans="1:11" s="51" customFormat="1" x14ac:dyDescent="0.2">
      <c r="A37" s="141" t="s">
        <v>111</v>
      </c>
      <c r="B37" s="162">
        <f>[78]Julho02!$C$18</f>
        <v>1.7912142857142859</v>
      </c>
      <c r="C37" s="163">
        <f t="shared" si="0"/>
        <v>147.17412993720291</v>
      </c>
      <c r="D37" s="164">
        <f t="shared" si="1"/>
        <v>3.3591624763003924</v>
      </c>
      <c r="E37" s="164">
        <f t="shared" si="6"/>
        <v>2.9524525346437125</v>
      </c>
      <c r="F37" s="167">
        <f t="shared" si="3"/>
        <v>4.6787400057797912</v>
      </c>
      <c r="G37" s="170">
        <f t="shared" si="5"/>
        <v>24.131274131274139</v>
      </c>
      <c r="H37" s="166">
        <f t="shared" si="2"/>
        <v>2.3492443274713879</v>
      </c>
      <c r="I37" s="55"/>
      <c r="J37" s="55"/>
      <c r="K37" s="55"/>
    </row>
    <row r="38" spans="1:11" s="51" customFormat="1" x14ac:dyDescent="0.2">
      <c r="A38" s="141" t="s">
        <v>112</v>
      </c>
      <c r="B38" s="171">
        <f>[78]Agosto02!$C$17</f>
        <v>1.7587857142857144</v>
      </c>
      <c r="C38" s="163">
        <f t="shared" si="0"/>
        <v>144.50965432243677</v>
      </c>
      <c r="D38" s="164">
        <f t="shared" si="1"/>
        <v>-1.8104238944052331</v>
      </c>
      <c r="E38" s="164">
        <f t="shared" si="6"/>
        <v>1.0885767340803154</v>
      </c>
      <c r="F38" s="167">
        <f t="shared" si="3"/>
        <v>3.5141899932736642</v>
      </c>
      <c r="G38" s="170">
        <f t="shared" si="5"/>
        <v>17.084259963715141</v>
      </c>
      <c r="H38" s="166">
        <f t="shared" si="2"/>
        <v>2.3925598018113146</v>
      </c>
    </row>
    <row r="39" spans="1:11" s="51" customFormat="1" x14ac:dyDescent="0.2">
      <c r="A39" s="141" t="s">
        <v>113</v>
      </c>
      <c r="B39" s="171">
        <f>[78]Setembro02!$C$17</f>
        <v>1.7524615384615387</v>
      </c>
      <c r="C39" s="163">
        <f t="shared" si="0"/>
        <v>143.99003191772724</v>
      </c>
      <c r="D39" s="164">
        <f t="shared" si="1"/>
        <v>-0.3595762560957616</v>
      </c>
      <c r="E39" s="164">
        <f t="shared" si="6"/>
        <v>0.72508621451943256</v>
      </c>
      <c r="F39" s="167">
        <f t="shared" si="3"/>
        <v>2.5707982531178342</v>
      </c>
      <c r="G39" s="170">
        <f t="shared" si="5"/>
        <v>16.305901572391292</v>
      </c>
      <c r="H39" s="166">
        <f t="shared" si="2"/>
        <v>2.4011939250285312</v>
      </c>
    </row>
    <row r="40" spans="1:11" s="51" customFormat="1" x14ac:dyDescent="0.2">
      <c r="A40" s="141" t="s">
        <v>114</v>
      </c>
      <c r="B40" s="172">
        <f>[78]Outubro02!$C$17</f>
        <v>1.763076923076923</v>
      </c>
      <c r="C40" s="163">
        <f t="shared" si="0"/>
        <v>144.86223911659675</v>
      </c>
      <c r="D40" s="164">
        <f t="shared" si="1"/>
        <v>0.60574137476954171</v>
      </c>
      <c r="E40" s="164">
        <f t="shared" si="6"/>
        <v>1.3352197364930651</v>
      </c>
      <c r="F40" s="167">
        <f t="shared" si="3"/>
        <v>3.1921120165683492</v>
      </c>
      <c r="G40" s="170">
        <f t="shared" si="5"/>
        <v>16.534472239170238</v>
      </c>
      <c r="H40" s="166">
        <f t="shared" si="2"/>
        <v>2.3867364746945903</v>
      </c>
    </row>
    <row r="41" spans="1:11" s="51" customFormat="1" x14ac:dyDescent="0.2">
      <c r="A41" s="141" t="s">
        <v>115</v>
      </c>
      <c r="B41" s="172">
        <f>[78]Novembro02!$C$17</f>
        <v>1.9886923076923073</v>
      </c>
      <c r="C41" s="163">
        <f t="shared" si="0"/>
        <v>163.39980226358531</v>
      </c>
      <c r="D41" s="164">
        <f t="shared" si="1"/>
        <v>12.796684118673628</v>
      </c>
      <c r="E41" s="164">
        <f t="shared" si="6"/>
        <v>14.302767707135899</v>
      </c>
      <c r="F41" s="167">
        <f t="shared" si="3"/>
        <v>14.454577651850498</v>
      </c>
      <c r="G41" s="170">
        <f t="shared" si="5"/>
        <v>31.835798062213129</v>
      </c>
      <c r="H41" s="166">
        <f t="shared" si="2"/>
        <v>2.1159633311414541</v>
      </c>
    </row>
    <row r="42" spans="1:11" s="51" customFormat="1" x14ac:dyDescent="0.2">
      <c r="A42" s="141" t="s">
        <v>116</v>
      </c>
      <c r="B42" s="172">
        <f>[78]Dezembro02!$C$17</f>
        <v>1.9424999999999997</v>
      </c>
      <c r="C42" s="163">
        <f t="shared" si="0"/>
        <v>159.60443688009858</v>
      </c>
      <c r="D42" s="164">
        <f t="shared" si="1"/>
        <v>-2.3227478435771443</v>
      </c>
      <c r="E42" s="164">
        <f t="shared" si="6"/>
        <v>11.647802635069393</v>
      </c>
      <c r="F42" s="167">
        <f t="shared" si="3"/>
        <v>11.647802635069393</v>
      </c>
      <c r="G42" s="170">
        <f t="shared" si="5"/>
        <v>28.198294243070343</v>
      </c>
      <c r="H42" s="166">
        <f t="shared" si="2"/>
        <v>2.1662805662805669</v>
      </c>
    </row>
    <row r="43" spans="1:11" s="51" customFormat="1" x14ac:dyDescent="0.2">
      <c r="A43" s="141" t="s">
        <v>117</v>
      </c>
      <c r="B43" s="172">
        <f>[79]Jan03!$C$17</f>
        <v>2.1697142857142855</v>
      </c>
      <c r="C43" s="163">
        <f t="shared" si="0"/>
        <v>178.27337285051939</v>
      </c>
      <c r="D43" s="164">
        <f t="shared" si="1"/>
        <v>11.697003125574557</v>
      </c>
      <c r="E43" s="164">
        <f>100*(B43/$B$42-1)</f>
        <v>11.697003125574557</v>
      </c>
      <c r="F43" s="167">
        <f t="shared" si="3"/>
        <v>38.959541803143672</v>
      </c>
      <c r="G43" s="170">
        <f t="shared" si="5"/>
        <v>31.637450976143523</v>
      </c>
      <c r="H43" s="166">
        <f t="shared" si="2"/>
        <v>1.9394258625230447</v>
      </c>
    </row>
    <row r="44" spans="1:11" s="51" customFormat="1" x14ac:dyDescent="0.2">
      <c r="A44" s="141" t="s">
        <v>118</v>
      </c>
      <c r="B44" s="171">
        <f>[79]Fev03!$C$17</f>
        <v>2.1954999999999996</v>
      </c>
      <c r="C44" s="163">
        <f t="shared" si="0"/>
        <v>180.39204178648978</v>
      </c>
      <c r="D44" s="164">
        <f t="shared" si="1"/>
        <v>1.1884382407163496</v>
      </c>
      <c r="E44" s="164">
        <f t="shared" ref="E44:E54" si="7">100*(B44/$B$42-1)</f>
        <v>13.024453024453031</v>
      </c>
      <c r="F44" s="167">
        <f t="shared" si="3"/>
        <v>40.341344924571686</v>
      </c>
      <c r="G44" s="170">
        <f t="shared" si="5"/>
        <v>37.921619793176745</v>
      </c>
      <c r="H44" s="166">
        <f t="shared" si="2"/>
        <v>1.9166476884536556</v>
      </c>
    </row>
    <row r="45" spans="1:11" s="51" customFormat="1" x14ac:dyDescent="0.2">
      <c r="A45" s="141" t="s">
        <v>119</v>
      </c>
      <c r="B45" s="171">
        <f>[79]Março03!$C$17</f>
        <v>2.1702857142857139</v>
      </c>
      <c r="C45" s="163">
        <f t="shared" si="0"/>
        <v>178.32032396267383</v>
      </c>
      <c r="D45" s="164">
        <f t="shared" si="1"/>
        <v>-1.1484530045222319</v>
      </c>
      <c r="E45" s="164">
        <f t="shared" si="7"/>
        <v>11.726420297848872</v>
      </c>
      <c r="F45" s="167">
        <f t="shared" si="3"/>
        <v>32.099561610086582</v>
      </c>
      <c r="G45" s="170">
        <f t="shared" si="5"/>
        <v>31.605581744547795</v>
      </c>
      <c r="H45" s="166">
        <f t="shared" si="2"/>
        <v>1.9389152185360721</v>
      </c>
    </row>
    <row r="46" spans="1:11" s="51" customFormat="1" x14ac:dyDescent="0.2">
      <c r="A46" s="141" t="s">
        <v>120</v>
      </c>
      <c r="B46" s="171">
        <f>[79]Abril03!$C$18</f>
        <v>2.178866666666667</v>
      </c>
      <c r="C46" s="163">
        <f t="shared" si="0"/>
        <v>179.02537316352684</v>
      </c>
      <c r="D46" s="164">
        <f t="shared" si="1"/>
        <v>0.39538353519399383</v>
      </c>
      <c r="E46" s="164">
        <f t="shared" si="7"/>
        <v>12.168168168168192</v>
      </c>
      <c r="F46" s="167">
        <f t="shared" si="3"/>
        <v>31.158264359167308</v>
      </c>
      <c r="G46" s="170">
        <f t="shared" si="5"/>
        <v>35.656324582338918</v>
      </c>
      <c r="H46" s="166">
        <f t="shared" si="2"/>
        <v>1.9312792583300185</v>
      </c>
    </row>
    <row r="47" spans="1:11" s="51" customFormat="1" x14ac:dyDescent="0.2">
      <c r="A47" s="141" t="s">
        <v>121</v>
      </c>
      <c r="B47" s="171">
        <f>[79]Maio03!$C$18</f>
        <v>2.0645714285714285</v>
      </c>
      <c r="C47" s="163">
        <f t="shared" si="0"/>
        <v>169.63436821409707</v>
      </c>
      <c r="D47" s="164">
        <f t="shared" si="1"/>
        <v>-5.2456279149055369</v>
      </c>
      <c r="E47" s="164">
        <f t="shared" si="7"/>
        <v>6.2842434271005887</v>
      </c>
      <c r="F47" s="167">
        <f t="shared" si="3"/>
        <v>19.695975433387925</v>
      </c>
      <c r="G47" s="170">
        <f t="shared" si="5"/>
        <v>29.696668461527853</v>
      </c>
      <c r="H47" s="166">
        <f t="shared" si="2"/>
        <v>2.0381954054802107</v>
      </c>
    </row>
    <row r="48" spans="1:11" s="51" customFormat="1" x14ac:dyDescent="0.2">
      <c r="A48" s="141" t="s">
        <v>122</v>
      </c>
      <c r="B48" s="171">
        <f>[79]Junho03!$C$18</f>
        <v>1.999066666666667</v>
      </c>
      <c r="C48" s="163">
        <f t="shared" si="0"/>
        <v>164.25220572412312</v>
      </c>
      <c r="D48" s="164">
        <f t="shared" si="1"/>
        <v>-3.1728019189961931</v>
      </c>
      <c r="E48" s="164">
        <f t="shared" si="7"/>
        <v>2.912054912054951</v>
      </c>
      <c r="F48" s="167">
        <f t="shared" si="3"/>
        <v>15.352952490863636</v>
      </c>
      <c r="G48" s="170">
        <f t="shared" si="5"/>
        <v>26.001777777777811</v>
      </c>
      <c r="H48" s="166">
        <f t="shared" si="2"/>
        <v>2.1049823250850395</v>
      </c>
    </row>
    <row r="49" spans="1:8" s="51" customFormat="1" x14ac:dyDescent="0.2">
      <c r="A49" s="141" t="s">
        <v>123</v>
      </c>
      <c r="B49" s="171">
        <f>[79]Julho03!$C$18</f>
        <v>1.9216666666666669</v>
      </c>
      <c r="C49" s="163">
        <f t="shared" si="0"/>
        <v>157.89267758280025</v>
      </c>
      <c r="D49" s="164">
        <f t="shared" si="1"/>
        <v>-3.8718068431934927</v>
      </c>
      <c r="E49" s="164">
        <f t="shared" si="7"/>
        <v>-1.072501072501042</v>
      </c>
      <c r="F49" s="167">
        <f>(100*(B49/B37-1))</f>
        <v>7.2829019951881513</v>
      </c>
      <c r="G49" s="170">
        <f>100*(B49/B25-1)</f>
        <v>12.302390050198554</v>
      </c>
      <c r="H49" s="166">
        <f t="shared" si="2"/>
        <v>2.1897658282740675</v>
      </c>
    </row>
    <row r="50" spans="1:8" s="51" customFormat="1" x14ac:dyDescent="0.2">
      <c r="A50" s="141" t="s">
        <v>124</v>
      </c>
      <c r="B50" s="171">
        <f>[79]Agosto03!$C$18</f>
        <v>1.9488750000000004</v>
      </c>
      <c r="C50" s="163">
        <f t="shared" si="0"/>
        <v>160.12823522507193</v>
      </c>
      <c r="D50" s="164">
        <f>100*(B50/B49-1)</f>
        <v>1.4158716392020931</v>
      </c>
      <c r="E50" s="164">
        <f t="shared" si="7"/>
        <v>0.32818532818537083</v>
      </c>
      <c r="F50" s="167">
        <f>(100*(B50/B38-1))</f>
        <v>10.807984404824778</v>
      </c>
      <c r="G50" s="170">
        <f>100*(B50/B26-1)</f>
        <v>14.701987504527359</v>
      </c>
      <c r="H50" s="166">
        <f t="shared" si="2"/>
        <v>2.1591944070296964</v>
      </c>
    </row>
    <row r="51" spans="1:8" s="51" customFormat="1" x14ac:dyDescent="0.2">
      <c r="A51" s="141" t="s">
        <v>125</v>
      </c>
      <c r="B51" s="171">
        <f>[79]Setembro03!$C$18</f>
        <v>1.9464999999999999</v>
      </c>
      <c r="C51" s="163">
        <f t="shared" si="0"/>
        <v>159.93309466517985</v>
      </c>
      <c r="D51" s="164">
        <f>100*(B51/B50-1)</f>
        <v>-0.1218651786287217</v>
      </c>
      <c r="E51" s="164">
        <f t="shared" si="7"/>
        <v>0.20592020592020699</v>
      </c>
      <c r="F51" s="167">
        <f>(100*(B51/B39-1))</f>
        <v>11.072337810552169</v>
      </c>
      <c r="G51" s="170">
        <f>100*(B51/B27-1)</f>
        <v>13.92778353068298</v>
      </c>
      <c r="H51" s="166">
        <f t="shared" si="2"/>
        <v>2.1618289237092219</v>
      </c>
    </row>
    <row r="52" spans="1:8" s="51" customFormat="1" x14ac:dyDescent="0.2">
      <c r="A52" s="141" t="s">
        <v>126</v>
      </c>
      <c r="B52" s="171">
        <f>[79]Outubro03!$C$18</f>
        <v>1.9365000000000001</v>
      </c>
      <c r="C52" s="163">
        <f t="shared" si="0"/>
        <v>159.11145020247668</v>
      </c>
      <c r="D52" s="164">
        <f>100*(B52/B51-1)</f>
        <v>-0.51374261494989693</v>
      </c>
      <c r="E52" s="164">
        <f t="shared" si="7"/>
        <v>-0.30888030888028828</v>
      </c>
      <c r="F52" s="167">
        <f>(100*(B52/B40-1))</f>
        <v>9.8363874345549931</v>
      </c>
      <c r="G52" s="170">
        <f>100*(B52/B28-1)</f>
        <v>13.342487956417992</v>
      </c>
      <c r="H52" s="166">
        <f t="shared" si="2"/>
        <v>2.1729925122643947</v>
      </c>
    </row>
    <row r="53" spans="1:8" s="51" customFormat="1" x14ac:dyDescent="0.2">
      <c r="A53" s="141" t="s">
        <v>127</v>
      </c>
      <c r="B53" s="171">
        <f>[79]Novembro03!$C$18</f>
        <v>1.9288750000000001</v>
      </c>
      <c r="C53" s="163">
        <f t="shared" si="0"/>
        <v>158.48494629966549</v>
      </c>
      <c r="D53" s="164">
        <f t="shared" ref="D53:D101" si="8">100*(B53/B52-1)</f>
        <v>-0.39375161373612633</v>
      </c>
      <c r="E53" s="164">
        <f t="shared" si="7"/>
        <v>-0.70141570141567522</v>
      </c>
      <c r="F53" s="167">
        <f t="shared" ref="F53:F116" si="9">(100*(B53/B41-1))</f>
        <v>-3.0078714269136775</v>
      </c>
      <c r="G53" s="170">
        <f t="shared" ref="G53:G116" si="10">100*(B53/B29-1)</f>
        <v>11.011931113865758</v>
      </c>
      <c r="H53" s="166">
        <f t="shared" si="2"/>
        <v>2.1815825286760417</v>
      </c>
    </row>
    <row r="54" spans="1:8" s="51" customFormat="1" x14ac:dyDescent="0.2">
      <c r="A54" s="141" t="s">
        <v>128</v>
      </c>
      <c r="B54" s="171">
        <f>[79]Dezembro03!$C$18</f>
        <v>1.9383750000000002</v>
      </c>
      <c r="C54" s="163">
        <f t="shared" si="0"/>
        <v>159.26550853923354</v>
      </c>
      <c r="D54" s="164">
        <f t="shared" si="8"/>
        <v>0.49251506707277404</v>
      </c>
      <c r="E54" s="164">
        <f t="shared" si="7"/>
        <v>-0.2123552123551864</v>
      </c>
      <c r="F54" s="167">
        <f t="shared" si="9"/>
        <v>-0.2123552123551864</v>
      </c>
      <c r="G54" s="170">
        <f t="shared" si="10"/>
        <v>11.410712706693804</v>
      </c>
      <c r="H54" s="166">
        <f t="shared" si="2"/>
        <v>2.1708905655510415</v>
      </c>
    </row>
    <row r="55" spans="1:8" s="51" customFormat="1" x14ac:dyDescent="0.2">
      <c r="A55" s="141" t="s">
        <v>129</v>
      </c>
      <c r="B55" s="171">
        <f>[80]Jan04!$C$18</f>
        <v>1.9358750000000005</v>
      </c>
      <c r="C55" s="163">
        <f t="shared" si="0"/>
        <v>159.06009742355775</v>
      </c>
      <c r="D55" s="164">
        <f t="shared" si="8"/>
        <v>-0.1289740117366156</v>
      </c>
      <c r="E55" s="164">
        <f>100*(B55/$B$54-1)</f>
        <v>-0.1289740117366156</v>
      </c>
      <c r="F55" s="167">
        <f t="shared" si="9"/>
        <v>-10.777422965499051</v>
      </c>
      <c r="G55" s="170">
        <f t="shared" si="10"/>
        <v>23.983284232099411</v>
      </c>
      <c r="H55" s="166">
        <f t="shared" si="2"/>
        <v>2.1736940659908308</v>
      </c>
    </row>
    <row r="56" spans="1:8" s="51" customFormat="1" x14ac:dyDescent="0.2">
      <c r="A56" s="141" t="s">
        <v>130</v>
      </c>
      <c r="B56" s="171">
        <f>[80]Fev04!$C$18</f>
        <v>1.9340000000000004</v>
      </c>
      <c r="C56" s="163">
        <f t="shared" si="0"/>
        <v>158.90603908680089</v>
      </c>
      <c r="D56" s="164">
        <f t="shared" si="8"/>
        <v>-9.6855427132436223E-2</v>
      </c>
      <c r="E56" s="164">
        <f t="shared" ref="E56:E66" si="11">100*(B56/$B$54-1)</f>
        <v>-0.22570452053910506</v>
      </c>
      <c r="F56" s="167">
        <f t="shared" si="9"/>
        <v>-11.910726485994038</v>
      </c>
      <c r="G56" s="170">
        <f t="shared" si="10"/>
        <v>23.625671183840467</v>
      </c>
      <c r="H56" s="166">
        <f t="shared" si="2"/>
        <v>2.1758014477766285</v>
      </c>
    </row>
    <row r="57" spans="1:8" s="51" customFormat="1" x14ac:dyDescent="0.2">
      <c r="A57" s="141" t="s">
        <v>131</v>
      </c>
      <c r="B57" s="171">
        <f>[80]Março04!$C$18</f>
        <v>1.9088750000000001</v>
      </c>
      <c r="C57" s="163">
        <f t="shared" si="0"/>
        <v>156.84165737425906</v>
      </c>
      <c r="D57" s="164">
        <f t="shared" si="8"/>
        <v>-1.2991209927611269</v>
      </c>
      <c r="E57" s="164">
        <f t="shared" si="11"/>
        <v>-1.5218933384922972</v>
      </c>
      <c r="F57" s="167">
        <f t="shared" si="9"/>
        <v>-12.044990784623465</v>
      </c>
      <c r="G57" s="170">
        <f t="shared" si="10"/>
        <v>16.188181587623653</v>
      </c>
      <c r="H57" s="166">
        <f t="shared" si="2"/>
        <v>2.2044397878331479</v>
      </c>
    </row>
    <row r="58" spans="1:8" s="51" customFormat="1" x14ac:dyDescent="0.2">
      <c r="A58" s="141" t="s">
        <v>132</v>
      </c>
      <c r="B58" s="171">
        <f>[80]Abril04!$C$18</f>
        <v>1.8838750000000002</v>
      </c>
      <c r="C58" s="163">
        <f t="shared" si="0"/>
        <v>154.78754621750105</v>
      </c>
      <c r="D58" s="164">
        <f t="shared" si="8"/>
        <v>-1.3096719271822321</v>
      </c>
      <c r="E58" s="164">
        <f t="shared" si="11"/>
        <v>-2.811633455858642</v>
      </c>
      <c r="F58" s="167">
        <f t="shared" si="9"/>
        <v>-13.538766331120156</v>
      </c>
      <c r="G58" s="170">
        <f t="shared" si="10"/>
        <v>13.401053423626808</v>
      </c>
      <c r="H58" s="166">
        <f t="shared" si="2"/>
        <v>2.2336938491141929</v>
      </c>
    </row>
    <row r="59" spans="1:8" s="51" customFormat="1" x14ac:dyDescent="0.2">
      <c r="A59" s="141" t="s">
        <v>133</v>
      </c>
      <c r="B59" s="171">
        <f>[80]Maio04!$C$18</f>
        <v>1.8890000000000002</v>
      </c>
      <c r="C59" s="163">
        <f t="shared" si="0"/>
        <v>155.20863900463644</v>
      </c>
      <c r="D59" s="164">
        <f t="shared" si="8"/>
        <v>0.27204565058722707</v>
      </c>
      <c r="E59" s="164">
        <f t="shared" si="11"/>
        <v>-2.5472367317985412</v>
      </c>
      <c r="F59" s="167">
        <f t="shared" si="9"/>
        <v>-8.5040132853584147</v>
      </c>
      <c r="G59" s="170">
        <f t="shared" si="10"/>
        <v>9.5170137804932775</v>
      </c>
      <c r="H59" s="166">
        <f t="shared" si="2"/>
        <v>2.2276336686077287</v>
      </c>
    </row>
    <row r="60" spans="1:8" s="51" customFormat="1" x14ac:dyDescent="0.2">
      <c r="A60" s="141" t="s">
        <v>134</v>
      </c>
      <c r="B60" s="171">
        <f>[80]Junho04!$C$18</f>
        <v>2.0189999999999997</v>
      </c>
      <c r="C60" s="163">
        <f t="shared" si="0"/>
        <v>165.89001701977813</v>
      </c>
      <c r="D60" s="164">
        <f t="shared" si="8"/>
        <v>6.8819481206987554</v>
      </c>
      <c r="E60" s="164">
        <f t="shared" si="11"/>
        <v>4.1594118785064582</v>
      </c>
      <c r="F60" s="167">
        <f t="shared" si="9"/>
        <v>0.99713199493094429</v>
      </c>
      <c r="G60" s="170">
        <f t="shared" si="10"/>
        <v>16.503173687247518</v>
      </c>
      <c r="H60" s="166">
        <f t="shared" si="2"/>
        <v>2.0842000990589407</v>
      </c>
    </row>
    <row r="61" spans="1:8" s="51" customFormat="1" x14ac:dyDescent="0.2">
      <c r="A61" s="141" t="s">
        <v>136</v>
      </c>
      <c r="B61" s="171">
        <f>[80]Julho04!$C$18</f>
        <v>1.994</v>
      </c>
      <c r="C61" s="163">
        <f t="shared" si="0"/>
        <v>163.83590586302014</v>
      </c>
      <c r="D61" s="164">
        <f t="shared" si="8"/>
        <v>-1.2382367508667502</v>
      </c>
      <c r="E61" s="164">
        <f t="shared" si="11"/>
        <v>2.8696717611401246</v>
      </c>
      <c r="F61" s="167">
        <f t="shared" si="9"/>
        <v>3.7640936686903714</v>
      </c>
      <c r="G61" s="170">
        <f t="shared" si="10"/>
        <v>11.321130916776312</v>
      </c>
      <c r="H61" s="166">
        <f t="shared" si="2"/>
        <v>2.1103309929789371</v>
      </c>
    </row>
    <row r="62" spans="1:8" s="51" customFormat="1" x14ac:dyDescent="0.2">
      <c r="A62" s="141" t="s">
        <v>137</v>
      </c>
      <c r="B62" s="171">
        <f>[80]Agosto04!$C$18</f>
        <v>2.0027499999999998</v>
      </c>
      <c r="C62" s="163">
        <f t="shared" si="0"/>
        <v>164.55484476788541</v>
      </c>
      <c r="D62" s="164">
        <f t="shared" si="8"/>
        <v>0.43881644934804509</v>
      </c>
      <c r="E62" s="164">
        <f t="shared" si="11"/>
        <v>3.3210808022183347</v>
      </c>
      <c r="F62" s="167">
        <f t="shared" si="9"/>
        <v>2.7644153678404004</v>
      </c>
      <c r="G62" s="170">
        <f t="shared" si="10"/>
        <v>13.871177354505937</v>
      </c>
      <c r="H62" s="166">
        <f t="shared" si="2"/>
        <v>2.1011109724129327</v>
      </c>
    </row>
    <row r="63" spans="1:8" s="51" customFormat="1" x14ac:dyDescent="0.2">
      <c r="A63" s="141" t="s">
        <v>138</v>
      </c>
      <c r="B63" s="171">
        <f>[80]Setembro04!$C$18</f>
        <v>1.9978125</v>
      </c>
      <c r="C63" s="163">
        <f t="shared" si="0"/>
        <v>164.14915781442573</v>
      </c>
      <c r="D63" s="164">
        <f t="shared" si="8"/>
        <v>-0.24653601298214589</v>
      </c>
      <c r="E63" s="164">
        <f t="shared" si="11"/>
        <v>3.0663571290384883</v>
      </c>
      <c r="F63" s="167">
        <f t="shared" si="9"/>
        <v>2.6361417929617215</v>
      </c>
      <c r="G63" s="170">
        <f t="shared" si="10"/>
        <v>14.000362127995757</v>
      </c>
      <c r="H63" s="166">
        <f t="shared" si="2"/>
        <v>2.1063037697481621</v>
      </c>
    </row>
    <row r="64" spans="1:8" s="51" customFormat="1" x14ac:dyDescent="0.2">
      <c r="A64" s="141" t="s">
        <v>139</v>
      </c>
      <c r="B64" s="171">
        <f>[80]Outubro04!$C$18</f>
        <v>2.0577500000000004</v>
      </c>
      <c r="C64" s="163">
        <f t="shared" si="0"/>
        <v>169.07388931275312</v>
      </c>
      <c r="D64" s="164">
        <f t="shared" si="8"/>
        <v>3.0001564210855758</v>
      </c>
      <c r="E64" s="164">
        <f t="shared" si="11"/>
        <v>6.1585090604243442</v>
      </c>
      <c r="F64" s="167">
        <f t="shared" si="9"/>
        <v>6.2612961528530908</v>
      </c>
      <c r="G64" s="170">
        <f t="shared" si="10"/>
        <v>16.713568935427613</v>
      </c>
      <c r="H64" s="166">
        <f t="shared" si="2"/>
        <v>2.0449520106912886</v>
      </c>
    </row>
    <row r="65" spans="1:8" s="51" customFormat="1" x14ac:dyDescent="0.2">
      <c r="A65" s="141" t="s">
        <v>140</v>
      </c>
      <c r="B65" s="171">
        <f>[80]Novembro04!$C$18</f>
        <v>2.069</v>
      </c>
      <c r="C65" s="163">
        <f t="shared" si="0"/>
        <v>169.99823933329421</v>
      </c>
      <c r="D65" s="164">
        <f t="shared" si="8"/>
        <v>0.54671364354268448</v>
      </c>
      <c r="E65" s="164">
        <f t="shared" si="11"/>
        <v>6.7388921132391699</v>
      </c>
      <c r="F65" s="167">
        <f t="shared" si="9"/>
        <v>7.2645972393234226</v>
      </c>
      <c r="G65" s="170">
        <f t="shared" si="10"/>
        <v>4.0382160677677748</v>
      </c>
      <c r="H65" s="166">
        <f t="shared" si="2"/>
        <v>2.0338327694538427</v>
      </c>
    </row>
    <row r="66" spans="1:8" s="51" customFormat="1" x14ac:dyDescent="0.2">
      <c r="A66" s="141" t="s">
        <v>141</v>
      </c>
      <c r="B66" s="171">
        <f>[80]Dezembro04!$C$18</f>
        <v>2.2288749999999995</v>
      </c>
      <c r="C66" s="163">
        <f t="shared" si="0"/>
        <v>183.13428018076175</v>
      </c>
      <c r="D66" s="164">
        <f t="shared" si="8"/>
        <v>7.7271628806186321</v>
      </c>
      <c r="E66" s="164">
        <f t="shared" si="11"/>
        <v>14.986780163796954</v>
      </c>
      <c r="F66" s="167">
        <f t="shared" si="9"/>
        <v>14.986780163796954</v>
      </c>
      <c r="G66" s="170">
        <f t="shared" si="10"/>
        <v>14.742599742599726</v>
      </c>
      <c r="H66" s="166">
        <f t="shared" si="2"/>
        <v>1.8879479558073025</v>
      </c>
    </row>
    <row r="67" spans="1:8" s="51" customFormat="1" x14ac:dyDescent="0.2">
      <c r="A67" s="141" t="s">
        <v>142</v>
      </c>
      <c r="B67" s="171">
        <f>[81]Janeiro!$C$18</f>
        <v>2.2093124999999998</v>
      </c>
      <c r="C67" s="163">
        <f t="shared" si="0"/>
        <v>181.52693820059861</v>
      </c>
      <c r="D67" s="164">
        <f t="shared" si="8"/>
        <v>-0.877684930738587</v>
      </c>
      <c r="E67" s="164">
        <f>100*(B67/$B$66-1)</f>
        <v>-0.877684930738587</v>
      </c>
      <c r="F67" s="167">
        <f t="shared" si="9"/>
        <v>14.124749790146529</v>
      </c>
      <c r="G67" s="170">
        <f t="shared" si="10"/>
        <v>1.8250427969449534</v>
      </c>
      <c r="H67" s="166">
        <f t="shared" si="2"/>
        <v>1.9046649127273758</v>
      </c>
    </row>
    <row r="68" spans="1:8" s="51" customFormat="1" x14ac:dyDescent="0.2">
      <c r="A68" s="141" t="s">
        <v>143</v>
      </c>
      <c r="B68" s="171">
        <f>[81]Fevereiro!$C$18</f>
        <v>2.2086874999999995</v>
      </c>
      <c r="C68" s="163">
        <f t="shared" si="0"/>
        <v>181.47558542167963</v>
      </c>
      <c r="D68" s="164">
        <f t="shared" si="8"/>
        <v>-2.8289343404352962E-2</v>
      </c>
      <c r="E68" s="164">
        <f t="shared" ref="E68:E78" si="12">100*(B68/$B$66-1)</f>
        <v>-0.90572598283887862</v>
      </c>
      <c r="F68" s="167">
        <f t="shared" si="9"/>
        <v>14.203076525336034</v>
      </c>
      <c r="G68" s="170">
        <f t="shared" si="10"/>
        <v>0.60066044181279477</v>
      </c>
      <c r="H68" s="166">
        <f t="shared" si="2"/>
        <v>1.9052038823962201</v>
      </c>
    </row>
    <row r="69" spans="1:8" s="51" customFormat="1" x14ac:dyDescent="0.2">
      <c r="A69" s="141" t="s">
        <v>144</v>
      </c>
      <c r="B69" s="171">
        <f>[81]Março!$C$18</f>
        <v>2.2189999999999999</v>
      </c>
      <c r="C69" s="163">
        <f t="shared" si="0"/>
        <v>182.32290627384234</v>
      </c>
      <c r="D69" s="164">
        <f t="shared" si="8"/>
        <v>0.46690625088430249</v>
      </c>
      <c r="E69" s="164">
        <f t="shared" si="12"/>
        <v>-0.44304862318432781</v>
      </c>
      <c r="F69" s="167">
        <f t="shared" si="9"/>
        <v>16.246480256695683</v>
      </c>
      <c r="G69" s="170">
        <f t="shared" si="10"/>
        <v>2.2446024223275574</v>
      </c>
      <c r="H69" s="166">
        <f t="shared" si="2"/>
        <v>1.8963497070752593</v>
      </c>
    </row>
    <row r="70" spans="1:8" s="51" customFormat="1" x14ac:dyDescent="0.2">
      <c r="A70" s="141" t="s">
        <v>145</v>
      </c>
      <c r="B70" s="171">
        <f>[81]Abril!$C$18</f>
        <v>2.1989999999999998</v>
      </c>
      <c r="C70" s="163">
        <f t="shared" si="0"/>
        <v>180.67961734843593</v>
      </c>
      <c r="D70" s="164">
        <f t="shared" si="8"/>
        <v>-0.9013068949977443</v>
      </c>
      <c r="E70" s="164">
        <f t="shared" si="12"/>
        <v>-1.3403622903931156</v>
      </c>
      <c r="F70" s="167">
        <f t="shared" si="9"/>
        <v>16.727489881228831</v>
      </c>
      <c r="G70" s="170">
        <f t="shared" si="10"/>
        <v>0.92402778202733682</v>
      </c>
      <c r="H70" s="166">
        <f t="shared" si="2"/>
        <v>1.9135970895861758</v>
      </c>
    </row>
    <row r="71" spans="1:8" s="51" customFormat="1" x14ac:dyDescent="0.2">
      <c r="A71" s="141" t="s">
        <v>146</v>
      </c>
      <c r="B71" s="171">
        <f>[81]Maio!$C$18</f>
        <v>2.2090000000000001</v>
      </c>
      <c r="C71" s="163">
        <f t="shared" si="0"/>
        <v>181.50126181113916</v>
      </c>
      <c r="D71" s="164">
        <f t="shared" si="8"/>
        <v>0.45475216007277997</v>
      </c>
      <c r="E71" s="164">
        <f t="shared" si="12"/>
        <v>-0.89170545678871616</v>
      </c>
      <c r="F71" s="167">
        <f t="shared" si="9"/>
        <v>16.940179989412375</v>
      </c>
      <c r="G71" s="170">
        <f t="shared" si="10"/>
        <v>6.9955715471907043</v>
      </c>
      <c r="H71" s="166">
        <f t="shared" si="2"/>
        <v>1.9049343594386601</v>
      </c>
    </row>
    <row r="72" spans="1:8" s="51" customFormat="1" x14ac:dyDescent="0.2">
      <c r="A72" s="141" t="s">
        <v>148</v>
      </c>
      <c r="B72" s="171">
        <f>[81]Junho!$C$18</f>
        <v>2.1890000000000001</v>
      </c>
      <c r="C72" s="163">
        <f t="shared" si="0"/>
        <v>179.85797288573272</v>
      </c>
      <c r="D72" s="164">
        <f t="shared" si="8"/>
        <v>-0.90538705296514532</v>
      </c>
      <c r="E72" s="164">
        <f t="shared" si="12"/>
        <v>-1.789019123997504</v>
      </c>
      <c r="F72" s="167">
        <f t="shared" si="9"/>
        <v>8.4200099058940214</v>
      </c>
      <c r="G72" s="170">
        <f t="shared" si="10"/>
        <v>9.5011005135729789</v>
      </c>
      <c r="H72" s="166">
        <f t="shared" si="2"/>
        <v>1.9223389675650981</v>
      </c>
    </row>
    <row r="73" spans="1:8" s="51" customFormat="1" x14ac:dyDescent="0.2">
      <c r="A73" s="141" t="s">
        <v>149</v>
      </c>
      <c r="B73" s="171">
        <f>[81]Julho!$C$18</f>
        <v>2.1690625000000003</v>
      </c>
      <c r="C73" s="163">
        <f t="shared" si="0"/>
        <v>178.21981923821824</v>
      </c>
      <c r="D73" s="164">
        <f t="shared" si="8"/>
        <v>-0.91080402010048633</v>
      </c>
      <c r="E73" s="164">
        <f t="shared" si="12"/>
        <v>-2.6835286859962615</v>
      </c>
      <c r="F73" s="167">
        <f t="shared" si="9"/>
        <v>8.7794633901705268</v>
      </c>
      <c r="G73" s="170">
        <f t="shared" si="10"/>
        <v>12.874024284475283</v>
      </c>
      <c r="H73" s="166">
        <f t="shared" ref="H73:H136" si="13">+B$226/B73</f>
        <v>1.9400086442875664</v>
      </c>
    </row>
    <row r="74" spans="1:8" s="51" customFormat="1" x14ac:dyDescent="0.2">
      <c r="A74" s="141" t="s">
        <v>150</v>
      </c>
      <c r="B74" s="171">
        <f>[81]Agosto!$C$18</f>
        <v>2.1628124999999994</v>
      </c>
      <c r="C74" s="163">
        <f t="shared" si="0"/>
        <v>177.70629144902864</v>
      </c>
      <c r="D74" s="164">
        <f t="shared" si="8"/>
        <v>-0.28814291888781263</v>
      </c>
      <c r="E74" s="164">
        <f t="shared" si="12"/>
        <v>-2.9639392069990556</v>
      </c>
      <c r="F74" s="167">
        <f t="shared" si="9"/>
        <v>7.992135813256751</v>
      </c>
      <c r="G74" s="170">
        <f t="shared" si="10"/>
        <v>10.977487011737486</v>
      </c>
      <c r="H74" s="166">
        <f t="shared" si="13"/>
        <v>1.9456147955497767</v>
      </c>
    </row>
    <row r="75" spans="1:8" s="51" customFormat="1" x14ac:dyDescent="0.2">
      <c r="A75" s="141" t="s">
        <v>151</v>
      </c>
      <c r="B75" s="171">
        <f>[81]Setembro!$C$18</f>
        <v>2.3690625000000001</v>
      </c>
      <c r="C75" s="163">
        <f t="shared" si="0"/>
        <v>194.65270849228241</v>
      </c>
      <c r="D75" s="164">
        <f t="shared" si="8"/>
        <v>9.536194191590841</v>
      </c>
      <c r="E75" s="164">
        <f t="shared" si="12"/>
        <v>6.2896079860916609</v>
      </c>
      <c r="F75" s="167">
        <f t="shared" si="9"/>
        <v>18.582824964805255</v>
      </c>
      <c r="G75" s="170">
        <f t="shared" si="10"/>
        <v>21.70883637297716</v>
      </c>
      <c r="H75" s="166">
        <f t="shared" si="13"/>
        <v>1.7762300488062261</v>
      </c>
    </row>
    <row r="76" spans="1:8" s="51" customFormat="1" x14ac:dyDescent="0.2">
      <c r="A76" s="141" t="s">
        <v>152</v>
      </c>
      <c r="B76" s="171">
        <f>[81]Outubro!$C$18</f>
        <v>2.3790625000000003</v>
      </c>
      <c r="C76" s="163">
        <f t="shared" si="0"/>
        <v>195.47435295498565</v>
      </c>
      <c r="D76" s="164">
        <f t="shared" si="8"/>
        <v>0.42210790133228038</v>
      </c>
      <c r="E76" s="164">
        <f t="shared" si="12"/>
        <v>6.7382648196960826</v>
      </c>
      <c r="F76" s="167">
        <f t="shared" si="9"/>
        <v>15.614749119183568</v>
      </c>
      <c r="G76" s="170">
        <f t="shared" si="10"/>
        <v>22.853730957913765</v>
      </c>
      <c r="H76" s="166">
        <f t="shared" si="13"/>
        <v>1.7687639563903848</v>
      </c>
    </row>
    <row r="77" spans="1:8" s="51" customFormat="1" x14ac:dyDescent="0.2">
      <c r="A77" s="141" t="s">
        <v>153</v>
      </c>
      <c r="B77" s="171">
        <f>[81]Novembro!$C$18</f>
        <v>2.3508749999999998</v>
      </c>
      <c r="C77" s="163">
        <f t="shared" si="0"/>
        <v>193.15834262574091</v>
      </c>
      <c r="D77" s="164">
        <f t="shared" si="8"/>
        <v>-1.1848154472612782</v>
      </c>
      <c r="E77" s="164">
        <f t="shared" si="12"/>
        <v>5.4736133699736511</v>
      </c>
      <c r="F77" s="167">
        <f t="shared" si="9"/>
        <v>13.623731271145466</v>
      </c>
      <c r="G77" s="170">
        <f t="shared" si="10"/>
        <v>21.87803771628538</v>
      </c>
      <c r="H77" s="166">
        <f t="shared" si="13"/>
        <v>1.7899718190035627</v>
      </c>
    </row>
    <row r="78" spans="1:8" s="51" customFormat="1" x14ac:dyDescent="0.2">
      <c r="A78" s="141" t="s">
        <v>154</v>
      </c>
      <c r="B78" s="171">
        <f>[81]Dezembro!$C$18</f>
        <v>2.3689999999999998</v>
      </c>
      <c r="C78" s="163">
        <f t="shared" si="0"/>
        <v>194.64757321439049</v>
      </c>
      <c r="D78" s="164">
        <f t="shared" si="8"/>
        <v>0.77098952517680175</v>
      </c>
      <c r="E78" s="164">
        <f t="shared" si="12"/>
        <v>6.2868038808816307</v>
      </c>
      <c r="F78" s="167">
        <f t="shared" si="9"/>
        <v>6.2868038808816307</v>
      </c>
      <c r="G78" s="170">
        <f t="shared" si="10"/>
        <v>22.215773521635374</v>
      </c>
      <c r="H78" s="166">
        <f t="shared" si="13"/>
        <v>1.7762769100886453</v>
      </c>
    </row>
    <row r="79" spans="1:8" s="51" customFormat="1" x14ac:dyDescent="0.2">
      <c r="A79" s="141" t="s">
        <v>155</v>
      </c>
      <c r="B79" s="171">
        <f>[82]Janeiro!$C$18</f>
        <v>2.399</v>
      </c>
      <c r="C79" s="163">
        <f t="shared" si="0"/>
        <v>197.11250660250016</v>
      </c>
      <c r="D79" s="164">
        <f t="shared" si="8"/>
        <v>1.266357112705796</v>
      </c>
      <c r="E79" s="164">
        <f>100*(B79/$B$78-1)</f>
        <v>1.266357112705796</v>
      </c>
      <c r="F79" s="167">
        <f t="shared" si="9"/>
        <v>8.5858157232170829</v>
      </c>
      <c r="G79" s="170">
        <f t="shared" si="10"/>
        <v>23.923290501711094</v>
      </c>
      <c r="H79" s="166">
        <f t="shared" si="13"/>
        <v>1.7540641934139225</v>
      </c>
    </row>
    <row r="80" spans="1:8" s="51" customFormat="1" x14ac:dyDescent="0.2">
      <c r="A80" s="141" t="s">
        <v>156</v>
      </c>
      <c r="B80" s="171">
        <f>[82]Fevereiro!$C$18</f>
        <v>2.4289999999999998</v>
      </c>
      <c r="C80" s="163">
        <f t="shared" si="0"/>
        <v>199.57743999060975</v>
      </c>
      <c r="D80" s="164">
        <f t="shared" si="8"/>
        <v>1.2505210504376807</v>
      </c>
      <c r="E80" s="164">
        <f t="shared" ref="E80:E90" si="14">100*(B80/$B$78-1)</f>
        <v>2.5327142254115698</v>
      </c>
      <c r="F80" s="167">
        <f t="shared" si="9"/>
        <v>9.9748153598008038</v>
      </c>
      <c r="G80" s="170">
        <f t="shared" si="10"/>
        <v>25.594622543950329</v>
      </c>
      <c r="H80" s="166">
        <f t="shared" si="13"/>
        <v>1.7324001646768219</v>
      </c>
    </row>
    <row r="81" spans="1:9" s="51" customFormat="1" x14ac:dyDescent="0.2">
      <c r="A81" s="141" t="s">
        <v>157</v>
      </c>
      <c r="B81" s="171">
        <f>[82]Março!$C$18</f>
        <v>2.4933750000000003</v>
      </c>
      <c r="C81" s="163">
        <f t="shared" si="0"/>
        <v>204.86677621926171</v>
      </c>
      <c r="D81" s="164">
        <f t="shared" si="8"/>
        <v>2.6502675998353542</v>
      </c>
      <c r="E81" s="164">
        <f t="shared" si="14"/>
        <v>5.250105529759419</v>
      </c>
      <c r="F81" s="167">
        <f t="shared" si="9"/>
        <v>12.364803965750371</v>
      </c>
      <c r="G81" s="170">
        <f t="shared" si="10"/>
        <v>30.620129657520813</v>
      </c>
      <c r="H81" s="166">
        <f t="shared" si="13"/>
        <v>1.687672331678949</v>
      </c>
    </row>
    <row r="82" spans="1:9" s="51" customFormat="1" x14ac:dyDescent="0.2">
      <c r="A82" s="141" t="s">
        <v>158</v>
      </c>
      <c r="B82" s="171">
        <f>[82]Abril!$C$18</f>
        <v>2.4852500000000002</v>
      </c>
      <c r="C82" s="163">
        <f t="shared" si="0"/>
        <v>204.19919009331534</v>
      </c>
      <c r="D82" s="164">
        <f t="shared" si="8"/>
        <v>-0.32586353837670279</v>
      </c>
      <c r="E82" s="164">
        <f t="shared" si="14"/>
        <v>4.9071338117349317</v>
      </c>
      <c r="F82" s="167">
        <f t="shared" si="9"/>
        <v>13.01728058208278</v>
      </c>
      <c r="G82" s="170">
        <f t="shared" si="10"/>
        <v>31.922234755490674</v>
      </c>
      <c r="H82" s="166">
        <f t="shared" si="13"/>
        <v>1.6931898199376321</v>
      </c>
    </row>
    <row r="83" spans="1:9" s="51" customFormat="1" x14ac:dyDescent="0.2">
      <c r="A83" s="141" t="s">
        <v>159</v>
      </c>
      <c r="B83" s="171">
        <f>[82]Maio!$C$18</f>
        <v>2.4890000000000003</v>
      </c>
      <c r="C83" s="163">
        <f t="shared" si="0"/>
        <v>204.50730676682906</v>
      </c>
      <c r="D83" s="164">
        <f t="shared" si="8"/>
        <v>0.15089025248968824</v>
      </c>
      <c r="E83" s="164">
        <f t="shared" si="14"/>
        <v>5.0654284508231617</v>
      </c>
      <c r="F83" s="167">
        <f t="shared" si="9"/>
        <v>12.675418741512011</v>
      </c>
      <c r="G83" s="170">
        <f t="shared" si="10"/>
        <v>31.762837480148232</v>
      </c>
      <c r="H83" s="166">
        <f t="shared" si="13"/>
        <v>1.6906388107673762</v>
      </c>
    </row>
    <row r="84" spans="1:9" s="51" customFormat="1" x14ac:dyDescent="0.2">
      <c r="A84" s="141" t="s">
        <v>160</v>
      </c>
      <c r="B84" s="171">
        <f>[82]Junho!$C$18</f>
        <v>2.4689999999999994</v>
      </c>
      <c r="C84" s="163">
        <f t="shared" si="0"/>
        <v>202.86401784142257</v>
      </c>
      <c r="D84" s="164">
        <f t="shared" si="8"/>
        <v>-0.80353555644840924</v>
      </c>
      <c r="E84" s="164">
        <f t="shared" si="14"/>
        <v>4.2211903756859348</v>
      </c>
      <c r="F84" s="167">
        <f t="shared" si="9"/>
        <v>12.791228871630844</v>
      </c>
      <c r="G84" s="170">
        <f t="shared" si="10"/>
        <v>22.288261515601771</v>
      </c>
      <c r="H84" s="166">
        <f t="shared" si="13"/>
        <v>1.7043337383556101</v>
      </c>
    </row>
    <row r="85" spans="1:9" s="51" customFormat="1" x14ac:dyDescent="0.2">
      <c r="A85" s="141" t="s">
        <v>161</v>
      </c>
      <c r="B85" s="171">
        <f>[82]Julho!$C$18</f>
        <v>2.4846250000000003</v>
      </c>
      <c r="C85" s="163">
        <f t="shared" si="0"/>
        <v>204.14783731439641</v>
      </c>
      <c r="D85" s="164">
        <f t="shared" si="8"/>
        <v>0.63284730660189137</v>
      </c>
      <c r="E85" s="164">
        <f t="shared" si="14"/>
        <v>4.8807513718869044</v>
      </c>
      <c r="F85" s="167">
        <f t="shared" si="9"/>
        <v>14.548335974643422</v>
      </c>
      <c r="G85" s="170">
        <f t="shared" si="10"/>
        <v>24.605065195586782</v>
      </c>
      <c r="H85" s="166">
        <f t="shared" si="13"/>
        <v>1.6936157367812044</v>
      </c>
    </row>
    <row r="86" spans="1:9" s="51" customFormat="1" x14ac:dyDescent="0.2">
      <c r="A86" s="141" t="s">
        <v>162</v>
      </c>
      <c r="B86" s="171">
        <f>[82]Agosto!$C$18</f>
        <v>2.4489999999999998</v>
      </c>
      <c r="C86" s="163">
        <f t="shared" si="0"/>
        <v>201.22072891601618</v>
      </c>
      <c r="D86" s="164">
        <f t="shared" si="8"/>
        <v>-1.4338179805805873</v>
      </c>
      <c r="E86" s="164">
        <f t="shared" si="14"/>
        <v>3.3769523005487523</v>
      </c>
      <c r="F86" s="167">
        <f t="shared" si="9"/>
        <v>13.232191879786193</v>
      </c>
      <c r="G86" s="170">
        <f t="shared" si="10"/>
        <v>22.281862439146181</v>
      </c>
      <c r="H86" s="166">
        <f t="shared" si="13"/>
        <v>1.718252347897101</v>
      </c>
      <c r="I86" s="60"/>
    </row>
    <row r="87" spans="1:9" s="51" customFormat="1" ht="15" customHeight="1" x14ac:dyDescent="0.2">
      <c r="A87" s="141" t="s">
        <v>163</v>
      </c>
      <c r="B87" s="171">
        <f>[82]Setembro!$C$18</f>
        <v>2.4390000000000001</v>
      </c>
      <c r="C87" s="163">
        <f t="shared" si="0"/>
        <v>200.39908445331298</v>
      </c>
      <c r="D87" s="164">
        <f t="shared" si="8"/>
        <v>-0.4083299305839061</v>
      </c>
      <c r="E87" s="164">
        <f t="shared" si="14"/>
        <v>2.9548332629801832</v>
      </c>
      <c r="F87" s="167">
        <f t="shared" si="9"/>
        <v>2.9521171349426112</v>
      </c>
      <c r="G87" s="170">
        <f t="shared" si="10"/>
        <v>22.083528859690293</v>
      </c>
      <c r="H87" s="166">
        <f t="shared" si="13"/>
        <v>1.7252972529725297</v>
      </c>
      <c r="I87" s="60"/>
    </row>
    <row r="88" spans="1:9" s="51" customFormat="1" ht="15" customHeight="1" x14ac:dyDescent="0.2">
      <c r="A88" s="141" t="s">
        <v>164</v>
      </c>
      <c r="B88" s="171">
        <f>[82]Outubro!$C$18</f>
        <v>2.4108749999999999</v>
      </c>
      <c r="C88" s="163">
        <f t="shared" si="0"/>
        <v>198.0882094019602</v>
      </c>
      <c r="D88" s="164">
        <f t="shared" si="8"/>
        <v>-1.1531365313653175</v>
      </c>
      <c r="E88" s="164">
        <f t="shared" si="14"/>
        <v>1.7676234698184912</v>
      </c>
      <c r="F88" s="167">
        <f t="shared" si="9"/>
        <v>1.3371863916983973</v>
      </c>
      <c r="G88" s="170">
        <f t="shared" si="10"/>
        <v>17.160733811201535</v>
      </c>
      <c r="H88" s="166">
        <f t="shared" si="13"/>
        <v>1.7454243791154664</v>
      </c>
      <c r="I88" s="60"/>
    </row>
    <row r="89" spans="1:9" s="51" customFormat="1" ht="15" customHeight="1" x14ac:dyDescent="0.2">
      <c r="A89" s="141" t="s">
        <v>165</v>
      </c>
      <c r="B89" s="171">
        <f>[82]Novembro!$C$18</f>
        <v>2.3896250000000001</v>
      </c>
      <c r="C89" s="163">
        <f t="shared" si="0"/>
        <v>196.34221491871588</v>
      </c>
      <c r="D89" s="164">
        <f t="shared" si="8"/>
        <v>-0.88142271996680677</v>
      </c>
      <c r="E89" s="164">
        <f t="shared" si="14"/>
        <v>0.87062051498523196</v>
      </c>
      <c r="F89" s="167">
        <f t="shared" si="9"/>
        <v>1.6483224331366175</v>
      </c>
      <c r="G89" s="170">
        <f t="shared" si="10"/>
        <v>15.496616723054624</v>
      </c>
      <c r="H89" s="166">
        <f t="shared" si="13"/>
        <v>1.7609457550870953</v>
      </c>
      <c r="I89" s="60"/>
    </row>
    <row r="90" spans="1:9" s="51" customFormat="1" ht="15" customHeight="1" x14ac:dyDescent="0.2">
      <c r="A90" s="141" t="s">
        <v>166</v>
      </c>
      <c r="B90" s="171">
        <f>[82]Dezembro!$C$18</f>
        <v>2.3758750000000002</v>
      </c>
      <c r="C90" s="163">
        <f t="shared" si="0"/>
        <v>195.21245378249898</v>
      </c>
      <c r="D90" s="164">
        <f t="shared" si="8"/>
        <v>-0.57540409059998465</v>
      </c>
      <c r="E90" s="164">
        <f t="shared" si="14"/>
        <v>0.29020683832843286</v>
      </c>
      <c r="F90" s="167">
        <f t="shared" si="9"/>
        <v>0.29020683832843286</v>
      </c>
      <c r="G90" s="170">
        <f t="shared" si="10"/>
        <v>6.5952554539846719</v>
      </c>
      <c r="H90" s="166">
        <f t="shared" si="13"/>
        <v>1.7711369495449045</v>
      </c>
      <c r="I90" s="60"/>
    </row>
    <row r="91" spans="1:9" s="51" customFormat="1" ht="15" customHeight="1" x14ac:dyDescent="0.2">
      <c r="A91" s="141" t="s">
        <v>167</v>
      </c>
      <c r="B91" s="171">
        <f>[83]Janeiro!$C$18</f>
        <v>2.3689999999999993</v>
      </c>
      <c r="C91" s="163">
        <f t="shared" si="0"/>
        <v>194.64757321439046</v>
      </c>
      <c r="D91" s="164">
        <f t="shared" si="8"/>
        <v>-0.28936707528808281</v>
      </c>
      <c r="E91" s="164">
        <f>100*(B91/$B$90-1)</f>
        <v>-0.28936707528808281</v>
      </c>
      <c r="F91" s="167">
        <f t="shared" si="9"/>
        <v>-1.250521050437714</v>
      </c>
      <c r="G91" s="170">
        <f t="shared" si="10"/>
        <v>7.2279272398087402</v>
      </c>
      <c r="H91" s="166">
        <f t="shared" si="13"/>
        <v>1.7762769100886455</v>
      </c>
      <c r="I91" s="60"/>
    </row>
    <row r="92" spans="1:9" s="51" customFormat="1" ht="15" customHeight="1" x14ac:dyDescent="0.2">
      <c r="A92" s="141" t="s">
        <v>168</v>
      </c>
      <c r="B92" s="171">
        <f>[83]Fevereiro!$C$18</f>
        <v>2.3590000000000004</v>
      </c>
      <c r="C92" s="163">
        <f t="shared" si="0"/>
        <v>193.82592875168734</v>
      </c>
      <c r="D92" s="164">
        <f t="shared" si="8"/>
        <v>-0.42211903756854685</v>
      </c>
      <c r="E92" s="164">
        <f t="shared" ref="E92:E102" si="15">100*(B92/$B$90-1)</f>
        <v>-0.71026463934339423</v>
      </c>
      <c r="F92" s="167">
        <f t="shared" si="9"/>
        <v>-2.881844380403431</v>
      </c>
      <c r="G92" s="170">
        <f t="shared" si="10"/>
        <v>6.805512323495333</v>
      </c>
      <c r="H92" s="166">
        <f t="shared" si="13"/>
        <v>1.7838066977532852</v>
      </c>
      <c r="I92" s="60"/>
    </row>
    <row r="93" spans="1:9" s="51" customFormat="1" ht="15" customHeight="1" x14ac:dyDescent="0.2">
      <c r="A93" s="141" t="s">
        <v>169</v>
      </c>
      <c r="B93" s="171">
        <f>[83]Março!$C$18</f>
        <v>2.3689999999999998</v>
      </c>
      <c r="C93" s="163">
        <f t="shared" si="0"/>
        <v>194.64757321439049</v>
      </c>
      <c r="D93" s="164">
        <f t="shared" si="8"/>
        <v>0.42390843577784221</v>
      </c>
      <c r="E93" s="164">
        <f t="shared" si="15"/>
        <v>-0.28936707528807171</v>
      </c>
      <c r="F93" s="167">
        <f t="shared" si="9"/>
        <v>-4.9882187797664068</v>
      </c>
      <c r="G93" s="170">
        <f t="shared" si="10"/>
        <v>6.7598017124830934</v>
      </c>
      <c r="H93" s="166">
        <f t="shared" si="13"/>
        <v>1.7762769100886453</v>
      </c>
      <c r="I93" s="60"/>
    </row>
    <row r="94" spans="1:9" s="51" customFormat="1" ht="15" customHeight="1" x14ac:dyDescent="0.2">
      <c r="A94" s="141" t="s">
        <v>170</v>
      </c>
      <c r="B94" s="171">
        <f>[83]Abril!$C$18</f>
        <v>2.399</v>
      </c>
      <c r="C94" s="163">
        <f t="shared" si="0"/>
        <v>197.11250660250016</v>
      </c>
      <c r="D94" s="164">
        <f t="shared" si="8"/>
        <v>1.266357112705796</v>
      </c>
      <c r="E94" s="164">
        <f t="shared" si="15"/>
        <v>0.97332561687799579</v>
      </c>
      <c r="F94" s="167">
        <f t="shared" si="9"/>
        <v>-3.4704758072628517</v>
      </c>
      <c r="G94" s="170">
        <f t="shared" si="10"/>
        <v>9.0950432014552227</v>
      </c>
      <c r="H94" s="166">
        <f t="shared" si="13"/>
        <v>1.7540641934139225</v>
      </c>
      <c r="I94" s="60"/>
    </row>
    <row r="95" spans="1:9" s="51" customFormat="1" ht="15" customHeight="1" x14ac:dyDescent="0.2">
      <c r="A95" s="141" t="s">
        <v>171</v>
      </c>
      <c r="B95" s="171">
        <f>[83]Maio!$C$18</f>
        <v>2.4089999999999998</v>
      </c>
      <c r="C95" s="163">
        <f t="shared" si="0"/>
        <v>197.93415106520334</v>
      </c>
      <c r="D95" s="164">
        <f t="shared" si="8"/>
        <v>0.41684035014588616</v>
      </c>
      <c r="E95" s="164">
        <f t="shared" si="15"/>
        <v>1.3942231809333183</v>
      </c>
      <c r="F95" s="167">
        <f t="shared" si="9"/>
        <v>-3.2141422257935148</v>
      </c>
      <c r="G95" s="170">
        <f t="shared" si="10"/>
        <v>9.0538705296514088</v>
      </c>
      <c r="H95" s="166">
        <f t="shared" si="13"/>
        <v>1.7467828974678292</v>
      </c>
      <c r="I95" s="60"/>
    </row>
    <row r="96" spans="1:9" s="51" customFormat="1" ht="15" customHeight="1" x14ac:dyDescent="0.2">
      <c r="A96" s="141" t="s">
        <v>172</v>
      </c>
      <c r="B96" s="171">
        <f>[83]Junho!$C$18</f>
        <v>2.3890000000000002</v>
      </c>
      <c r="C96" s="163">
        <f t="shared" si="0"/>
        <v>196.29086213979696</v>
      </c>
      <c r="D96" s="164">
        <f t="shared" si="8"/>
        <v>-0.8302200083021849</v>
      </c>
      <c r="E96" s="164">
        <f t="shared" si="15"/>
        <v>0.55242805282265106</v>
      </c>
      <c r="F96" s="167">
        <f t="shared" si="9"/>
        <v>-3.2401782098015031</v>
      </c>
      <c r="G96" s="170">
        <f t="shared" si="10"/>
        <v>9.1365920511649268</v>
      </c>
      <c r="H96" s="166">
        <f t="shared" si="13"/>
        <v>1.761406446211804</v>
      </c>
      <c r="I96" s="60"/>
    </row>
    <row r="97" spans="1:9" s="51" customFormat="1" ht="15" customHeight="1" x14ac:dyDescent="0.2">
      <c r="A97" s="141" t="s">
        <v>173</v>
      </c>
      <c r="B97" s="171">
        <f>[83]Julho!$C$18</f>
        <v>2.3689999999999998</v>
      </c>
      <c r="C97" s="163">
        <f t="shared" si="0"/>
        <v>194.64757321439049</v>
      </c>
      <c r="D97" s="164">
        <f t="shared" si="8"/>
        <v>-0.83717036416912638</v>
      </c>
      <c r="E97" s="164">
        <f t="shared" si="15"/>
        <v>-0.28936707528807171</v>
      </c>
      <c r="F97" s="167">
        <f t="shared" si="9"/>
        <v>-4.6536197615334558</v>
      </c>
      <c r="G97" s="170">
        <f t="shared" si="10"/>
        <v>9.2176919752196884</v>
      </c>
      <c r="H97" s="166">
        <f t="shared" si="13"/>
        <v>1.7762769100886453</v>
      </c>
      <c r="I97" s="60"/>
    </row>
    <row r="98" spans="1:9" s="51" customFormat="1" ht="15" customHeight="1" x14ac:dyDescent="0.2">
      <c r="A98" s="141" t="s">
        <v>175</v>
      </c>
      <c r="B98" s="171">
        <f>[83]Agosto!$C$18</f>
        <v>2.3571249999999999</v>
      </c>
      <c r="C98" s="163">
        <f t="shared" si="0"/>
        <v>193.67187041493042</v>
      </c>
      <c r="D98" s="164">
        <f t="shared" si="8"/>
        <v>-0.50126635711269518</v>
      </c>
      <c r="E98" s="164">
        <f t="shared" si="15"/>
        <v>-0.78918293260379357</v>
      </c>
      <c r="F98" s="167">
        <f t="shared" si="9"/>
        <v>-3.7515312372396914</v>
      </c>
      <c r="G98" s="170">
        <f t="shared" si="10"/>
        <v>8.9842508308048288</v>
      </c>
      <c r="H98" s="166">
        <f t="shared" si="13"/>
        <v>1.7852256456488309</v>
      </c>
      <c r="I98" s="60"/>
    </row>
    <row r="99" spans="1:9" s="51" customFormat="1" ht="15" customHeight="1" x14ac:dyDescent="0.2">
      <c r="A99" s="141" t="s">
        <v>176</v>
      </c>
      <c r="B99" s="171">
        <f>[83]Setembro!$C$18</f>
        <v>2.3477500000000004</v>
      </c>
      <c r="C99" s="163">
        <f t="shared" si="0"/>
        <v>192.90157873114623</v>
      </c>
      <c r="D99" s="164">
        <f t="shared" si="8"/>
        <v>-0.39773028583547365</v>
      </c>
      <c r="E99" s="164">
        <f t="shared" si="15"/>
        <v>-1.1837743989056571</v>
      </c>
      <c r="F99" s="167">
        <f t="shared" si="9"/>
        <v>-3.7412874128741169</v>
      </c>
      <c r="G99" s="170">
        <f t="shared" si="10"/>
        <v>-0.8996174647143973</v>
      </c>
      <c r="H99" s="166">
        <f t="shared" si="13"/>
        <v>1.7923543818549672</v>
      </c>
      <c r="I99" s="60"/>
    </row>
    <row r="100" spans="1:9" s="51" customFormat="1" ht="15" customHeight="1" x14ac:dyDescent="0.2">
      <c r="A100" s="141" t="s">
        <v>177</v>
      </c>
      <c r="B100" s="171">
        <f>[83]Outubro!$C$18</f>
        <v>2.3389999999999995</v>
      </c>
      <c r="C100" s="163">
        <f t="shared" si="0"/>
        <v>192.18263982628085</v>
      </c>
      <c r="D100" s="164">
        <f t="shared" si="8"/>
        <v>-0.37269726333727382</v>
      </c>
      <c r="E100" s="164">
        <f t="shared" si="15"/>
        <v>-1.5520597674541281</v>
      </c>
      <c r="F100" s="167">
        <f t="shared" si="9"/>
        <v>-2.9812827292995392</v>
      </c>
      <c r="G100" s="170">
        <f t="shared" si="10"/>
        <v>-1.6839616445553984</v>
      </c>
      <c r="H100" s="166">
        <f t="shared" si="13"/>
        <v>1.7990594271056011</v>
      </c>
      <c r="I100" s="60"/>
    </row>
    <row r="101" spans="1:9" s="51" customFormat="1" ht="15" customHeight="1" x14ac:dyDescent="0.2">
      <c r="A101" s="141" t="s">
        <v>178</v>
      </c>
      <c r="B101" s="171">
        <f>[83]Novembro!$C$18</f>
        <v>2.320875</v>
      </c>
      <c r="C101" s="163">
        <f t="shared" si="0"/>
        <v>190.69340923763133</v>
      </c>
      <c r="D101" s="164">
        <f t="shared" si="8"/>
        <v>-0.77490380504486867</v>
      </c>
      <c r="E101" s="164">
        <f t="shared" si="15"/>
        <v>-2.3149366023044182</v>
      </c>
      <c r="F101" s="167">
        <f t="shared" si="9"/>
        <v>-2.8770204529999566</v>
      </c>
      <c r="G101" s="170">
        <f t="shared" si="10"/>
        <v>-1.2761205933960684</v>
      </c>
      <c r="H101" s="166">
        <f t="shared" si="13"/>
        <v>1.8131092799052082</v>
      </c>
      <c r="I101" s="60"/>
    </row>
    <row r="102" spans="1:9" s="51" customFormat="1" ht="15" customHeight="1" x14ac:dyDescent="0.2">
      <c r="A102" s="141" t="s">
        <v>179</v>
      </c>
      <c r="B102" s="171">
        <f>[83]Dezembro!$C$18</f>
        <v>2.359</v>
      </c>
      <c r="C102" s="163">
        <f t="shared" si="0"/>
        <v>193.82592875168731</v>
      </c>
      <c r="D102" s="164">
        <f>100*(B102/B101-1)</f>
        <v>1.6426994129369321</v>
      </c>
      <c r="E102" s="164">
        <f t="shared" si="15"/>
        <v>-0.71026463934340534</v>
      </c>
      <c r="F102" s="167">
        <f t="shared" si="9"/>
        <v>-0.71026463934340534</v>
      </c>
      <c r="G102" s="170">
        <f t="shared" si="10"/>
        <v>-0.42211903756858016</v>
      </c>
      <c r="H102" s="166">
        <f t="shared" si="13"/>
        <v>1.7838066977532854</v>
      </c>
      <c r="I102" s="60"/>
    </row>
    <row r="103" spans="1:9" s="51" customFormat="1" ht="15" customHeight="1" x14ac:dyDescent="0.2">
      <c r="A103" s="141" t="s">
        <v>180</v>
      </c>
      <c r="B103" s="171">
        <f>[84]Janeiro!$C$18</f>
        <v>2.3703749999999997</v>
      </c>
      <c r="C103" s="163">
        <f t="shared" si="0"/>
        <v>194.76054932801219</v>
      </c>
      <c r="D103" s="164">
        <f>100*(B103/B102-1)</f>
        <v>0.48219584569730856</v>
      </c>
      <c r="E103" s="164">
        <f>100*(B103/$B$102-1)</f>
        <v>0.48219584569730856</v>
      </c>
      <c r="F103" s="167">
        <f t="shared" si="9"/>
        <v>5.8041367665695454E-2</v>
      </c>
      <c r="G103" s="170">
        <f t="shared" si="10"/>
        <v>-1.193205502292638</v>
      </c>
      <c r="H103" s="166">
        <f t="shared" si="13"/>
        <v>1.775246532721616</v>
      </c>
      <c r="I103" s="60"/>
    </row>
    <row r="104" spans="1:9" s="51" customFormat="1" ht="15" customHeight="1" x14ac:dyDescent="0.2">
      <c r="A104" s="141" t="s">
        <v>181</v>
      </c>
      <c r="B104" s="171">
        <f>[84]Fevereiro!$C$18</f>
        <v>2.359</v>
      </c>
      <c r="C104" s="163">
        <f t="shared" si="0"/>
        <v>193.82592875168731</v>
      </c>
      <c r="D104" s="164">
        <f>100*(B104/B103-1)</f>
        <v>-0.47988187523070325</v>
      </c>
      <c r="E104" s="164">
        <f t="shared" ref="E104:E114" si="16">100*(B104/$B$102-1)</f>
        <v>0</v>
      </c>
      <c r="F104" s="167">
        <f t="shared" si="9"/>
        <v>-2.2204460492503131E-14</v>
      </c>
      <c r="G104" s="170">
        <f t="shared" si="10"/>
        <v>-2.8818443804034533</v>
      </c>
      <c r="H104" s="166">
        <f t="shared" si="13"/>
        <v>1.7838066977532854</v>
      </c>
      <c r="I104" s="60"/>
    </row>
    <row r="105" spans="1:9" s="51" customFormat="1" ht="15" customHeight="1" x14ac:dyDescent="0.2">
      <c r="A105" s="141" t="s">
        <v>182</v>
      </c>
      <c r="B105" s="171">
        <f>[84]Março!$C$18</f>
        <v>2.4990000000000001</v>
      </c>
      <c r="C105" s="163">
        <f t="shared" si="0"/>
        <v>205.32895122953227</v>
      </c>
      <c r="D105" s="164">
        <f>100*(B105/B104-1)</f>
        <v>5.9347181008902128</v>
      </c>
      <c r="E105" s="164">
        <f t="shared" si="16"/>
        <v>5.9347181008902128</v>
      </c>
      <c r="F105" s="167">
        <f t="shared" si="9"/>
        <v>5.4875474883917308</v>
      </c>
      <c r="G105" s="170">
        <f t="shared" si="10"/>
        <v>0.22559783426077118</v>
      </c>
      <c r="H105" s="166">
        <f t="shared" si="13"/>
        <v>1.6838735494197679</v>
      </c>
      <c r="I105" s="60"/>
    </row>
    <row r="106" spans="1:9" s="51" customFormat="1" ht="15" customHeight="1" x14ac:dyDescent="0.2">
      <c r="A106" s="141" t="s">
        <v>183</v>
      </c>
      <c r="B106" s="171">
        <f>[84]Abril!$C$18</f>
        <v>2.496</v>
      </c>
      <c r="C106" s="163">
        <f t="shared" si="0"/>
        <v>205.08245789072129</v>
      </c>
      <c r="D106" s="164">
        <f>100*(B106/B105-1)</f>
        <v>-0.12004801920768582</v>
      </c>
      <c r="E106" s="164">
        <f t="shared" si="16"/>
        <v>5.8075455701568357</v>
      </c>
      <c r="F106" s="167">
        <f t="shared" si="9"/>
        <v>4.0433513964151624</v>
      </c>
      <c r="G106" s="170">
        <f t="shared" si="10"/>
        <v>0.43255205713710332</v>
      </c>
      <c r="H106" s="166">
        <f t="shared" si="13"/>
        <v>1.6858974358974359</v>
      </c>
      <c r="I106" s="60"/>
    </row>
    <row r="107" spans="1:9" s="51" customFormat="1" ht="15" customHeight="1" x14ac:dyDescent="0.2">
      <c r="A107" s="141" t="s">
        <v>185</v>
      </c>
      <c r="B107" s="171">
        <f>[84]Maio!$C$18</f>
        <v>2.4990000000000001</v>
      </c>
      <c r="C107" s="163">
        <f t="shared" ref="C107:C170" si="17">100*B107/B$7</f>
        <v>205.32895122953227</v>
      </c>
      <c r="D107" s="164">
        <f t="shared" ref="D107:D123" si="18">100*(B107/B106-1)</f>
        <v>0.12019230769231282</v>
      </c>
      <c r="E107" s="164">
        <f t="shared" si="16"/>
        <v>5.9347181008902128</v>
      </c>
      <c r="F107" s="167">
        <f t="shared" si="9"/>
        <v>3.7359900373599153</v>
      </c>
      <c r="G107" s="170">
        <f t="shared" si="10"/>
        <v>0.40176777822418241</v>
      </c>
      <c r="H107" s="166">
        <f t="shared" si="13"/>
        <v>1.6838735494197679</v>
      </c>
      <c r="I107" s="60"/>
    </row>
    <row r="108" spans="1:9" s="51" customFormat="1" ht="15" customHeight="1" x14ac:dyDescent="0.2">
      <c r="A108" s="141" t="s">
        <v>186</v>
      </c>
      <c r="B108" s="171">
        <f>[84]Junho!$C$18</f>
        <v>2.4929999999999999</v>
      </c>
      <c r="C108" s="163">
        <f t="shared" si="17"/>
        <v>204.83596455191031</v>
      </c>
      <c r="D108" s="164">
        <f t="shared" si="18"/>
        <v>-0.24009603841537164</v>
      </c>
      <c r="E108" s="164">
        <f t="shared" si="16"/>
        <v>5.6803730394234808</v>
      </c>
      <c r="F108" s="167">
        <f t="shared" si="9"/>
        <v>4.3532858936793595</v>
      </c>
      <c r="G108" s="170">
        <f t="shared" si="10"/>
        <v>0.97205346294046979</v>
      </c>
      <c r="H108" s="166">
        <f t="shared" si="13"/>
        <v>1.6879261933413559</v>
      </c>
      <c r="I108" s="60"/>
    </row>
    <row r="109" spans="1:9" s="51" customFormat="1" ht="15" customHeight="1" x14ac:dyDescent="0.2">
      <c r="A109" s="141" t="s">
        <v>187</v>
      </c>
      <c r="B109" s="171">
        <f>[84]Julho!$C$18</f>
        <v>2.496</v>
      </c>
      <c r="C109" s="163">
        <f t="shared" si="17"/>
        <v>205.08245789072129</v>
      </c>
      <c r="D109" s="164">
        <f t="shared" si="18"/>
        <v>0.12033694344164569</v>
      </c>
      <c r="E109" s="164">
        <f t="shared" si="16"/>
        <v>5.8075455701568357</v>
      </c>
      <c r="F109" s="167">
        <f t="shared" si="9"/>
        <v>5.360911777121169</v>
      </c>
      <c r="G109" s="170">
        <f t="shared" si="10"/>
        <v>0.45781556572921378</v>
      </c>
      <c r="H109" s="166">
        <f t="shared" si="13"/>
        <v>1.6858974358974359</v>
      </c>
      <c r="I109" s="60"/>
    </row>
    <row r="110" spans="1:9" s="51" customFormat="1" ht="15" customHeight="1" x14ac:dyDescent="0.2">
      <c r="A110" s="141" t="s">
        <v>188</v>
      </c>
      <c r="B110" s="171">
        <f>[84]Agosto!$C$18</f>
        <v>2.4990000000000001</v>
      </c>
      <c r="C110" s="163">
        <f t="shared" si="17"/>
        <v>205.32895122953227</v>
      </c>
      <c r="D110" s="164">
        <f t="shared" si="18"/>
        <v>0.12019230769231282</v>
      </c>
      <c r="E110" s="164">
        <f t="shared" si="16"/>
        <v>5.9347181008902128</v>
      </c>
      <c r="F110" s="167">
        <f t="shared" si="9"/>
        <v>6.0189849923105498</v>
      </c>
      <c r="G110" s="170">
        <f t="shared" si="10"/>
        <v>2.0416496529195749</v>
      </c>
      <c r="H110" s="166">
        <f t="shared" si="13"/>
        <v>1.6838735494197679</v>
      </c>
      <c r="I110" s="60"/>
    </row>
    <row r="111" spans="1:9" s="51" customFormat="1" ht="15" customHeight="1" x14ac:dyDescent="0.2">
      <c r="A111" s="141" t="s">
        <v>189</v>
      </c>
      <c r="B111" s="171">
        <f>[84]Setembro!$C$18</f>
        <v>2.5049999999999999</v>
      </c>
      <c r="C111" s="163">
        <f t="shared" si="17"/>
        <v>205.82193790715417</v>
      </c>
      <c r="D111" s="164">
        <f t="shared" si="18"/>
        <v>0.24009603841534943</v>
      </c>
      <c r="E111" s="164">
        <f t="shared" si="16"/>
        <v>6.1890631623569226</v>
      </c>
      <c r="F111" s="167">
        <f t="shared" si="9"/>
        <v>6.6979022468320437</v>
      </c>
      <c r="G111" s="170">
        <f t="shared" si="10"/>
        <v>2.7060270602705883</v>
      </c>
      <c r="H111" s="166">
        <f t="shared" si="13"/>
        <v>1.6798403193612776</v>
      </c>
      <c r="I111" s="60"/>
    </row>
    <row r="112" spans="1:9" s="51" customFormat="1" ht="15" customHeight="1" x14ac:dyDescent="0.2">
      <c r="A112" s="141" t="s">
        <v>190</v>
      </c>
      <c r="B112" s="171">
        <f>[84]Outubro!$C$18</f>
        <v>2.5099999999999989</v>
      </c>
      <c r="C112" s="163">
        <f t="shared" si="17"/>
        <v>206.23276013850568</v>
      </c>
      <c r="D112" s="164">
        <f t="shared" si="18"/>
        <v>0.19960079840315448</v>
      </c>
      <c r="E112" s="164">
        <f t="shared" si="16"/>
        <v>6.4010173802458104</v>
      </c>
      <c r="F112" s="167">
        <f t="shared" si="9"/>
        <v>7.3108165882855625</v>
      </c>
      <c r="G112" s="170">
        <f t="shared" si="10"/>
        <v>4.1115777466687042</v>
      </c>
      <c r="H112" s="166">
        <f t="shared" si="13"/>
        <v>1.6764940239043833</v>
      </c>
      <c r="I112" s="60"/>
    </row>
    <row r="113" spans="1:9" s="51" customFormat="1" ht="15" customHeight="1" x14ac:dyDescent="0.2">
      <c r="A113" s="141" t="s">
        <v>191</v>
      </c>
      <c r="B113" s="171">
        <f>[84]Novembro!$C$18</f>
        <v>2.5099999999999989</v>
      </c>
      <c r="C113" s="163">
        <f t="shared" si="17"/>
        <v>206.23276013850568</v>
      </c>
      <c r="D113" s="164">
        <f t="shared" si="18"/>
        <v>0</v>
      </c>
      <c r="E113" s="164">
        <f t="shared" si="16"/>
        <v>6.4010173802458104</v>
      </c>
      <c r="F113" s="167">
        <f t="shared" si="9"/>
        <v>8.1488662681100443</v>
      </c>
      <c r="G113" s="170">
        <f t="shared" si="10"/>
        <v>5.0374012658889411</v>
      </c>
      <c r="H113" s="166">
        <f t="shared" si="13"/>
        <v>1.6764940239043833</v>
      </c>
      <c r="I113" s="60"/>
    </row>
    <row r="114" spans="1:9" s="51" customFormat="1" ht="15" customHeight="1" x14ac:dyDescent="0.2">
      <c r="A114" s="141" t="s">
        <v>192</v>
      </c>
      <c r="B114" s="171">
        <f>[84]Dezembro!$C$18</f>
        <v>2.5110000000000001</v>
      </c>
      <c r="C114" s="163">
        <f t="shared" si="17"/>
        <v>206.31492458477612</v>
      </c>
      <c r="D114" s="164">
        <f t="shared" si="18"/>
        <v>3.9840637450239136E-2</v>
      </c>
      <c r="E114" s="164">
        <f t="shared" si="16"/>
        <v>6.4434082238236545</v>
      </c>
      <c r="F114" s="167">
        <f t="shared" si="9"/>
        <v>6.4434082238236545</v>
      </c>
      <c r="G114" s="170">
        <f t="shared" si="10"/>
        <v>5.6873783342978879</v>
      </c>
      <c r="H114" s="166">
        <f t="shared" si="13"/>
        <v>1.675826363998407</v>
      </c>
      <c r="I114" s="60"/>
    </row>
    <row r="115" spans="1:9" s="51" customFormat="1" ht="15" customHeight="1" x14ac:dyDescent="0.2">
      <c r="A115" s="141" t="s">
        <v>193</v>
      </c>
      <c r="B115" s="171">
        <f>[85]Janeiro!$C$18</f>
        <v>2.5059999999999998</v>
      </c>
      <c r="C115" s="163">
        <f t="shared" si="17"/>
        <v>205.90410235342446</v>
      </c>
      <c r="D115" s="164">
        <f t="shared" si="18"/>
        <v>-0.19912385503784158</v>
      </c>
      <c r="E115" s="164">
        <f>100*(B115/$B$114-1)</f>
        <v>-0.19912385503784158</v>
      </c>
      <c r="F115" s="167">
        <f t="shared" si="9"/>
        <v>5.7216685123661959</v>
      </c>
      <c r="G115" s="170">
        <f t="shared" si="10"/>
        <v>5.7830308146897602</v>
      </c>
      <c r="H115" s="166">
        <f t="shared" si="13"/>
        <v>1.6791699920191543</v>
      </c>
      <c r="I115" s="60"/>
    </row>
    <row r="116" spans="1:9" s="51" customFormat="1" ht="15" customHeight="1" x14ac:dyDescent="0.2">
      <c r="A116" s="141" t="s">
        <v>194</v>
      </c>
      <c r="B116" s="171">
        <f>[85]Fevereiro!$C$18</f>
        <v>2.5089999999999999</v>
      </c>
      <c r="C116" s="163">
        <f t="shared" si="17"/>
        <v>206.15059569223544</v>
      </c>
      <c r="D116" s="164">
        <f t="shared" si="18"/>
        <v>0.11971268954509284</v>
      </c>
      <c r="E116" s="164">
        <f t="shared" ref="E116:E126" si="19">100*(B116/$B$114-1)</f>
        <v>-7.9649542015147734E-2</v>
      </c>
      <c r="F116" s="167">
        <f t="shared" si="9"/>
        <v>6.3586265366680772</v>
      </c>
      <c r="G116" s="170">
        <f t="shared" si="10"/>
        <v>6.358626536668055</v>
      </c>
      <c r="H116" s="166">
        <f t="shared" si="13"/>
        <v>1.6771622160223199</v>
      </c>
      <c r="I116" s="60"/>
    </row>
    <row r="117" spans="1:9" s="51" customFormat="1" ht="15" customHeight="1" x14ac:dyDescent="0.2">
      <c r="A117" s="141" t="s">
        <v>195</v>
      </c>
      <c r="B117" s="171">
        <f>[85]Março!$C$18</f>
        <v>2.504</v>
      </c>
      <c r="C117" s="163">
        <f t="shared" si="17"/>
        <v>205.73977346088387</v>
      </c>
      <c r="D117" s="164">
        <f t="shared" si="18"/>
        <v>-0.19928258270226484</v>
      </c>
      <c r="E117" s="164">
        <f t="shared" si="19"/>
        <v>-0.27877339705296711</v>
      </c>
      <c r="F117" s="167">
        <f t="shared" ref="F117:F180" si="20">(100*(B117/B105-1))</f>
        <v>0.2000800320127949</v>
      </c>
      <c r="G117" s="170">
        <f t="shared" ref="G117:G180" si="21">100*(B117/B93-1)</f>
        <v>5.6986070071760375</v>
      </c>
      <c r="H117" s="166">
        <f t="shared" si="13"/>
        <v>1.6805111821086263</v>
      </c>
      <c r="I117" s="60"/>
    </row>
    <row r="118" spans="1:9" s="51" customFormat="1" ht="15" customHeight="1" x14ac:dyDescent="0.2">
      <c r="A118" s="141" t="s">
        <v>196</v>
      </c>
      <c r="B118" s="171">
        <f>[85]Abril!$C$18</f>
        <v>2.496</v>
      </c>
      <c r="C118" s="163">
        <f t="shared" si="17"/>
        <v>205.08245789072129</v>
      </c>
      <c r="D118" s="164">
        <f t="shared" si="18"/>
        <v>-0.31948881789137795</v>
      </c>
      <c r="E118" s="164">
        <f t="shared" si="19"/>
        <v>-0.59737156511350253</v>
      </c>
      <c r="F118" s="167">
        <f t="shared" si="20"/>
        <v>0</v>
      </c>
      <c r="G118" s="170">
        <f t="shared" si="21"/>
        <v>4.0433513964151624</v>
      </c>
      <c r="H118" s="166">
        <f t="shared" si="13"/>
        <v>1.6858974358974359</v>
      </c>
      <c r="I118" s="60"/>
    </row>
    <row r="119" spans="1:9" s="51" customFormat="1" ht="15" customHeight="1" x14ac:dyDescent="0.2">
      <c r="A119" s="141" t="s">
        <v>197</v>
      </c>
      <c r="B119" s="171">
        <f>[85]Maio!$C$18</f>
        <v>2.488</v>
      </c>
      <c r="C119" s="163">
        <f t="shared" si="17"/>
        <v>204.42514232055873</v>
      </c>
      <c r="D119" s="164">
        <f t="shared" si="18"/>
        <v>-0.32051282051281937</v>
      </c>
      <c r="E119" s="164">
        <f t="shared" si="19"/>
        <v>-0.91596973317403796</v>
      </c>
      <c r="F119" s="167">
        <f t="shared" si="20"/>
        <v>-0.44017607042817763</v>
      </c>
      <c r="G119" s="170">
        <f t="shared" si="21"/>
        <v>3.2793690327936886</v>
      </c>
      <c r="H119" s="166">
        <f t="shared" si="13"/>
        <v>1.6913183279742765</v>
      </c>
      <c r="I119" s="60"/>
    </row>
    <row r="120" spans="1:9" s="51" customFormat="1" ht="15" customHeight="1" x14ac:dyDescent="0.2">
      <c r="A120" s="141" t="s">
        <v>198</v>
      </c>
      <c r="B120" s="171">
        <f>[85]Junho!$C$18</f>
        <v>2.4799999999999995</v>
      </c>
      <c r="C120" s="163">
        <f t="shared" si="17"/>
        <v>203.7678267503961</v>
      </c>
      <c r="D120" s="164">
        <f t="shared" si="18"/>
        <v>-0.32154340836014761</v>
      </c>
      <c r="E120" s="164">
        <f t="shared" si="19"/>
        <v>-1.2345679012345956</v>
      </c>
      <c r="F120" s="167">
        <f t="shared" si="20"/>
        <v>-0.52146008824710544</v>
      </c>
      <c r="G120" s="170">
        <f t="shared" si="21"/>
        <v>3.8091251569694062</v>
      </c>
      <c r="H120" s="166">
        <f t="shared" si="13"/>
        <v>1.6967741935483875</v>
      </c>
      <c r="I120" s="60"/>
    </row>
    <row r="121" spans="1:9" s="51" customFormat="1" ht="15" customHeight="1" x14ac:dyDescent="0.2">
      <c r="A121" s="141" t="s">
        <v>200</v>
      </c>
      <c r="B121" s="171">
        <f>[85]Julho!$C$18</f>
        <v>2.4840000000000009</v>
      </c>
      <c r="C121" s="163">
        <f t="shared" si="17"/>
        <v>204.09648453547752</v>
      </c>
      <c r="D121" s="164">
        <f t="shared" si="18"/>
        <v>0.16129032258069831</v>
      </c>
      <c r="E121" s="164">
        <f t="shared" si="19"/>
        <v>-1.0752688172042668</v>
      </c>
      <c r="F121" s="167">
        <f t="shared" si="20"/>
        <v>-0.48076923076919575</v>
      </c>
      <c r="G121" s="170">
        <f t="shared" si="21"/>
        <v>4.8543689320388772</v>
      </c>
      <c r="H121" s="166">
        <f t="shared" si="13"/>
        <v>1.694041867954911</v>
      </c>
      <c r="I121" s="60"/>
    </row>
    <row r="122" spans="1:9" s="51" customFormat="1" ht="15" customHeight="1" x14ac:dyDescent="0.2">
      <c r="A122" s="141" t="s">
        <v>201</v>
      </c>
      <c r="B122" s="171">
        <f>[85]Agosto!$C$18</f>
        <v>2.4859999999999998</v>
      </c>
      <c r="C122" s="163">
        <f t="shared" si="17"/>
        <v>204.26081342801805</v>
      </c>
      <c r="D122" s="164">
        <f t="shared" si="18"/>
        <v>8.0515297906558203E-2</v>
      </c>
      <c r="E122" s="164">
        <f t="shared" si="19"/>
        <v>-0.99561927518918569</v>
      </c>
      <c r="F122" s="167">
        <f t="shared" si="20"/>
        <v>-0.52020808323330892</v>
      </c>
      <c r="G122" s="170">
        <f t="shared" si="21"/>
        <v>5.4674656626186424</v>
      </c>
      <c r="H122" s="166">
        <f t="shared" si="13"/>
        <v>1.6926790024135159</v>
      </c>
      <c r="I122" s="60"/>
    </row>
    <row r="123" spans="1:9" s="51" customFormat="1" ht="15" customHeight="1" x14ac:dyDescent="0.2">
      <c r="A123" s="141" t="s">
        <v>202</v>
      </c>
      <c r="B123" s="171">
        <f>[85]Setembro!$C$18</f>
        <v>2.4759999999999995</v>
      </c>
      <c r="C123" s="163">
        <f t="shared" si="17"/>
        <v>203.43916896531485</v>
      </c>
      <c r="D123" s="164">
        <f t="shared" si="18"/>
        <v>-0.4022526146420069</v>
      </c>
      <c r="E123" s="164">
        <f t="shared" si="19"/>
        <v>-1.3938669852648577</v>
      </c>
      <c r="F123" s="167">
        <f t="shared" si="20"/>
        <v>-1.1576846307385424</v>
      </c>
      <c r="G123" s="170">
        <f t="shared" si="21"/>
        <v>5.4626770312000472</v>
      </c>
      <c r="H123" s="166">
        <f t="shared" si="13"/>
        <v>1.6995153473344107</v>
      </c>
      <c r="I123" s="60"/>
    </row>
    <row r="124" spans="1:9" s="51" customFormat="1" ht="15" customHeight="1" x14ac:dyDescent="0.2">
      <c r="A124" s="141" t="s">
        <v>203</v>
      </c>
      <c r="B124" s="171">
        <f>[85]Outubro!$C$18</f>
        <v>2.5159999999999991</v>
      </c>
      <c r="C124" s="163">
        <f t="shared" si="17"/>
        <v>206.72574681612764</v>
      </c>
      <c r="D124" s="164">
        <f>100*(B124/B123-1)</f>
        <v>1.6155088852988442</v>
      </c>
      <c r="E124" s="164">
        <f t="shared" si="19"/>
        <v>0.19912385503779717</v>
      </c>
      <c r="F124" s="167">
        <f t="shared" si="20"/>
        <v>0.23904382470121277</v>
      </c>
      <c r="G124" s="170">
        <f t="shared" si="21"/>
        <v>7.5673364685763023</v>
      </c>
      <c r="H124" s="166">
        <f t="shared" si="13"/>
        <v>1.6724960254372025</v>
      </c>
      <c r="I124" s="60"/>
    </row>
    <row r="125" spans="1:9" s="51" customFormat="1" ht="15" customHeight="1" x14ac:dyDescent="0.2">
      <c r="A125" s="141" t="s">
        <v>204</v>
      </c>
      <c r="B125" s="171">
        <f>[85]Novembro!$C$18</f>
        <v>2.5360000000000005</v>
      </c>
      <c r="C125" s="163">
        <f t="shared" si="17"/>
        <v>208.36903574153416</v>
      </c>
      <c r="D125" s="164">
        <f t="shared" ref="D125:D141" si="22">100*(B125/B124-1)</f>
        <v>0.79491255961849916</v>
      </c>
      <c r="E125" s="164">
        <f t="shared" si="19"/>
        <v>0.99561927518918569</v>
      </c>
      <c r="F125" s="167">
        <f t="shared" si="20"/>
        <v>1.0358565737052405</v>
      </c>
      <c r="G125" s="170">
        <f t="shared" si="21"/>
        <v>9.2691334087359412</v>
      </c>
      <c r="H125" s="166">
        <f t="shared" si="13"/>
        <v>1.6593059936908514</v>
      </c>
      <c r="I125" s="60"/>
    </row>
    <row r="126" spans="1:9" s="51" customFormat="1" ht="15" customHeight="1" x14ac:dyDescent="0.2">
      <c r="A126" s="141" t="s">
        <v>205</v>
      </c>
      <c r="B126" s="171">
        <f>[85]Dezembro!$C$18</f>
        <v>2.5420000000000007</v>
      </c>
      <c r="C126" s="163">
        <f t="shared" si="17"/>
        <v>208.86202241915612</v>
      </c>
      <c r="D126" s="164">
        <f t="shared" si="22"/>
        <v>0.23659305993690705</v>
      </c>
      <c r="E126" s="164">
        <f t="shared" si="19"/>
        <v>1.2345679012345956</v>
      </c>
      <c r="F126" s="167">
        <f t="shared" si="20"/>
        <v>1.2345679012345956</v>
      </c>
      <c r="G126" s="170">
        <f t="shared" si="21"/>
        <v>7.7575243747350919</v>
      </c>
      <c r="H126" s="166">
        <f t="shared" si="13"/>
        <v>1.6553894571203773</v>
      </c>
      <c r="I126" s="60"/>
    </row>
    <row r="127" spans="1:9" s="51" customFormat="1" ht="15" customHeight="1" x14ac:dyDescent="0.2">
      <c r="A127" s="141" t="s">
        <v>206</v>
      </c>
      <c r="B127" s="171">
        <f>[86]Janeiro!$C$9</f>
        <v>2.5850000000000004</v>
      </c>
      <c r="C127" s="163">
        <f t="shared" si="17"/>
        <v>212.39509360877992</v>
      </c>
      <c r="D127" s="164">
        <f t="shared" si="22"/>
        <v>1.6915814319433453</v>
      </c>
      <c r="E127" s="164">
        <f>100*(B127/$B$126-1)</f>
        <v>1.6915814319433453</v>
      </c>
      <c r="F127" s="167">
        <f t="shared" si="20"/>
        <v>3.1524341580207782</v>
      </c>
      <c r="G127" s="170">
        <f t="shared" si="21"/>
        <v>9.0544745029795148</v>
      </c>
      <c r="H127" s="166">
        <f t="shared" si="13"/>
        <v>1.6278529980657639</v>
      </c>
      <c r="I127" s="60"/>
    </row>
    <row r="128" spans="1:9" s="51" customFormat="1" ht="15" customHeight="1" x14ac:dyDescent="0.2">
      <c r="A128" s="141" t="s">
        <v>207</v>
      </c>
      <c r="B128" s="171">
        <f>[86]Fevereiro!$C$9</f>
        <v>2.6030000000000002</v>
      </c>
      <c r="C128" s="163">
        <f t="shared" si="17"/>
        <v>213.87405364164565</v>
      </c>
      <c r="D128" s="164">
        <f t="shared" si="22"/>
        <v>0.69632495164408947</v>
      </c>
      <c r="E128" s="164">
        <f t="shared" ref="E128:E138" si="23">100*(B128/$B$126-1)</f>
        <v>2.3996852871754237</v>
      </c>
      <c r="F128" s="167">
        <f t="shared" si="20"/>
        <v>3.7465125548027167</v>
      </c>
      <c r="G128" s="170">
        <f t="shared" si="21"/>
        <v>10.343365832980078</v>
      </c>
      <c r="H128" s="166">
        <f t="shared" si="13"/>
        <v>1.6165962351133307</v>
      </c>
      <c r="I128" s="60"/>
    </row>
    <row r="129" spans="1:9" s="51" customFormat="1" ht="15" customHeight="1" x14ac:dyDescent="0.2">
      <c r="A129" s="141" t="s">
        <v>208</v>
      </c>
      <c r="B129" s="171">
        <f>[86]Março!$C$9</f>
        <v>2.5749999999999997</v>
      </c>
      <c r="C129" s="163">
        <f t="shared" si="17"/>
        <v>211.57344914607665</v>
      </c>
      <c r="D129" s="164">
        <f t="shared" si="22"/>
        <v>-1.075681905493675</v>
      </c>
      <c r="E129" s="164">
        <f t="shared" si="23"/>
        <v>1.298190401258803</v>
      </c>
      <c r="F129" s="167">
        <f t="shared" si="20"/>
        <v>2.8354632587859419</v>
      </c>
      <c r="G129" s="170">
        <f t="shared" si="21"/>
        <v>3.0412164865946334</v>
      </c>
      <c r="H129" s="166">
        <f t="shared" si="13"/>
        <v>1.6341747572815537</v>
      </c>
      <c r="I129" s="60"/>
    </row>
    <row r="130" spans="1:9" s="51" customFormat="1" ht="15" customHeight="1" x14ac:dyDescent="0.2">
      <c r="A130" s="141" t="s">
        <v>209</v>
      </c>
      <c r="B130" s="171">
        <f>[86]Abril!$C$9</f>
        <v>2.5579999999999998</v>
      </c>
      <c r="C130" s="163">
        <f t="shared" si="17"/>
        <v>210.17665355948117</v>
      </c>
      <c r="D130" s="164">
        <f t="shared" si="22"/>
        <v>-0.66019417475727815</v>
      </c>
      <c r="E130" s="164">
        <f t="shared" si="23"/>
        <v>0.62942564909516108</v>
      </c>
      <c r="F130" s="167">
        <f t="shared" si="20"/>
        <v>2.4839743589743613</v>
      </c>
      <c r="G130" s="170">
        <f t="shared" si="21"/>
        <v>2.4839743589743613</v>
      </c>
      <c r="H130" s="166">
        <f t="shared" si="13"/>
        <v>1.645035183737295</v>
      </c>
      <c r="I130" s="60"/>
    </row>
    <row r="131" spans="1:9" s="51" customFormat="1" ht="15" customHeight="1" x14ac:dyDescent="0.2">
      <c r="A131" s="141" t="s">
        <v>210</v>
      </c>
      <c r="B131" s="171">
        <f>[86]Maio!$C$9</f>
        <v>2.544</v>
      </c>
      <c r="C131" s="163">
        <f t="shared" si="17"/>
        <v>209.02635131169669</v>
      </c>
      <c r="D131" s="164">
        <f t="shared" si="22"/>
        <v>-0.54730258014072941</v>
      </c>
      <c r="E131" s="164">
        <f t="shared" si="23"/>
        <v>7.867820613687293E-2</v>
      </c>
      <c r="F131" s="167">
        <f t="shared" si="20"/>
        <v>2.2508038585209</v>
      </c>
      <c r="G131" s="170">
        <f t="shared" si="21"/>
        <v>1.8007202881152429</v>
      </c>
      <c r="H131" s="166">
        <f t="shared" si="13"/>
        <v>1.6540880503144655</v>
      </c>
      <c r="I131" s="60"/>
    </row>
    <row r="132" spans="1:9" s="51" customFormat="1" ht="15" customHeight="1" x14ac:dyDescent="0.2">
      <c r="A132" s="141" t="s">
        <v>211</v>
      </c>
      <c r="B132" s="171">
        <f>[86]Junho!$C$9</f>
        <v>2.5369999999999995</v>
      </c>
      <c r="C132" s="163">
        <f t="shared" si="17"/>
        <v>208.4512001878044</v>
      </c>
      <c r="D132" s="164">
        <f t="shared" si="22"/>
        <v>-0.27515723270442605</v>
      </c>
      <c r="E132" s="164">
        <f t="shared" si="23"/>
        <v>-0.19669551534229335</v>
      </c>
      <c r="F132" s="167">
        <f t="shared" si="20"/>
        <v>2.2983870967741904</v>
      </c>
      <c r="G132" s="170">
        <f t="shared" si="21"/>
        <v>1.7649418371439962</v>
      </c>
      <c r="H132" s="166">
        <f t="shared" si="13"/>
        <v>1.6586519511233744</v>
      </c>
      <c r="I132" s="60"/>
    </row>
    <row r="133" spans="1:9" s="51" customFormat="1" ht="15" customHeight="1" x14ac:dyDescent="0.2">
      <c r="A133" s="141" t="s">
        <v>212</v>
      </c>
      <c r="B133" s="171">
        <f>[86]Julho!$C$9</f>
        <v>2.5390000000000001</v>
      </c>
      <c r="C133" s="163">
        <f t="shared" si="17"/>
        <v>208.61552908034508</v>
      </c>
      <c r="D133" s="164">
        <f t="shared" si="22"/>
        <v>7.8833267638978022E-2</v>
      </c>
      <c r="E133" s="164">
        <f t="shared" si="23"/>
        <v>-0.11801730920537601</v>
      </c>
      <c r="F133" s="167">
        <f t="shared" si="20"/>
        <v>2.2141706924315274</v>
      </c>
      <c r="G133" s="170">
        <f t="shared" si="21"/>
        <v>1.7227564102564097</v>
      </c>
      <c r="H133" s="166">
        <f t="shared" si="13"/>
        <v>1.657345411579362</v>
      </c>
      <c r="I133" s="60"/>
    </row>
    <row r="134" spans="1:9" s="51" customFormat="1" ht="15" customHeight="1" x14ac:dyDescent="0.2">
      <c r="A134" s="141" t="s">
        <v>213</v>
      </c>
      <c r="B134" s="171">
        <f>[86]Agosto!$C$9</f>
        <v>2.5449999999999995</v>
      </c>
      <c r="C134" s="163">
        <f t="shared" si="17"/>
        <v>209.10851575796696</v>
      </c>
      <c r="D134" s="164">
        <f t="shared" si="22"/>
        <v>0.23631350925559236</v>
      </c>
      <c r="E134" s="164">
        <f t="shared" si="23"/>
        <v>0.1180173092053094</v>
      </c>
      <c r="F134" s="167">
        <f t="shared" si="20"/>
        <v>2.3732904263877641</v>
      </c>
      <c r="G134" s="170">
        <f t="shared" si="21"/>
        <v>1.8407362945177752</v>
      </c>
      <c r="H134" s="166">
        <f t="shared" si="13"/>
        <v>1.6534381139489198</v>
      </c>
      <c r="I134" s="60"/>
    </row>
    <row r="135" spans="1:9" s="51" customFormat="1" ht="15" customHeight="1" x14ac:dyDescent="0.2">
      <c r="A135" s="141" t="s">
        <v>214</v>
      </c>
      <c r="B135" s="171">
        <f>[86]Setembro!$C$9</f>
        <v>2.5479999999999996</v>
      </c>
      <c r="C135" s="163">
        <f t="shared" si="17"/>
        <v>209.35500909677793</v>
      </c>
      <c r="D135" s="164">
        <f t="shared" si="22"/>
        <v>0.11787819253439302</v>
      </c>
      <c r="E135" s="164">
        <f t="shared" si="23"/>
        <v>0.2360346184106632</v>
      </c>
      <c r="F135" s="167">
        <f t="shared" si="20"/>
        <v>2.9079159935379684</v>
      </c>
      <c r="G135" s="170">
        <f t="shared" si="21"/>
        <v>1.7165668662674438</v>
      </c>
      <c r="H135" s="166">
        <f t="shared" si="13"/>
        <v>1.6514913657770804</v>
      </c>
      <c r="I135" s="60"/>
    </row>
    <row r="136" spans="1:9" s="51" customFormat="1" ht="15" customHeight="1" x14ac:dyDescent="0.2">
      <c r="A136" s="141" t="s">
        <v>215</v>
      </c>
      <c r="B136" s="171">
        <f>[86]Outubro!$C$9</f>
        <v>2.5770000000000004</v>
      </c>
      <c r="C136" s="163">
        <f t="shared" si="17"/>
        <v>211.73777803861734</v>
      </c>
      <c r="D136" s="164">
        <f t="shared" si="22"/>
        <v>1.1381475667190166</v>
      </c>
      <c r="E136" s="164">
        <f t="shared" si="23"/>
        <v>1.3768686073957426</v>
      </c>
      <c r="F136" s="167">
        <f t="shared" si="20"/>
        <v>2.4244833068362892</v>
      </c>
      <c r="G136" s="170">
        <f t="shared" si="21"/>
        <v>2.669322709163402</v>
      </c>
      <c r="H136" s="166">
        <f t="shared" si="13"/>
        <v>1.6329064804035698</v>
      </c>
      <c r="I136" s="60"/>
    </row>
    <row r="137" spans="1:9" s="51" customFormat="1" ht="15" customHeight="1" x14ac:dyDescent="0.2">
      <c r="A137" s="141" t="s">
        <v>216</v>
      </c>
      <c r="B137" s="171">
        <f>[86]Novembro!$C$9</f>
        <v>2.5850000000000004</v>
      </c>
      <c r="C137" s="163">
        <f t="shared" si="17"/>
        <v>212.39509360877992</v>
      </c>
      <c r="D137" s="164">
        <f t="shared" si="22"/>
        <v>0.31043849437331072</v>
      </c>
      <c r="E137" s="164">
        <f t="shared" si="23"/>
        <v>1.6915814319433453</v>
      </c>
      <c r="F137" s="167">
        <f t="shared" si="20"/>
        <v>1.9321766561514186</v>
      </c>
      <c r="G137" s="170">
        <f t="shared" si="21"/>
        <v>2.9880478087650042</v>
      </c>
      <c r="H137" s="166">
        <f t="shared" ref="H137:H200" si="24">+B$226/B137</f>
        <v>1.6278529980657639</v>
      </c>
      <c r="I137" s="60"/>
    </row>
    <row r="138" spans="1:9" s="51" customFormat="1" ht="15" customHeight="1" x14ac:dyDescent="0.2">
      <c r="A138" s="141" t="s">
        <v>217</v>
      </c>
      <c r="B138" s="171">
        <f>[86]Dezembro!$C$9</f>
        <v>2.593</v>
      </c>
      <c r="C138" s="163">
        <f t="shared" si="17"/>
        <v>213.05240917894244</v>
      </c>
      <c r="D138" s="164">
        <f t="shared" si="22"/>
        <v>0.30947775628624719</v>
      </c>
      <c r="E138" s="164">
        <f t="shared" si="23"/>
        <v>2.0062942564909259</v>
      </c>
      <c r="F138" s="167">
        <f t="shared" si="20"/>
        <v>2.0062942564909259</v>
      </c>
      <c r="G138" s="170">
        <f t="shared" si="21"/>
        <v>3.2656312226204687</v>
      </c>
      <c r="H138" s="166">
        <f t="shared" si="24"/>
        <v>1.6228306980331664</v>
      </c>
      <c r="I138" s="60"/>
    </row>
    <row r="139" spans="1:9" s="51" customFormat="1" ht="15" customHeight="1" x14ac:dyDescent="0.2">
      <c r="A139" s="15" t="s">
        <v>218</v>
      </c>
      <c r="B139" s="171">
        <f>[87]Janeiro!$C$9</f>
        <v>2.7349999999999999</v>
      </c>
      <c r="C139" s="163">
        <f t="shared" si="17"/>
        <v>224.71976054932802</v>
      </c>
      <c r="D139" s="164">
        <f t="shared" si="22"/>
        <v>5.4762822984959492</v>
      </c>
      <c r="E139" s="164">
        <f>100*(B139/$B$138-1)</f>
        <v>5.4762822984959492</v>
      </c>
      <c r="F139" s="167">
        <f t="shared" si="20"/>
        <v>5.8027079303674789</v>
      </c>
      <c r="G139" s="170">
        <f t="shared" si="21"/>
        <v>9.1380686352753528</v>
      </c>
      <c r="H139" s="166">
        <f t="shared" si="24"/>
        <v>1.5385740402193786</v>
      </c>
      <c r="I139" s="60"/>
    </row>
    <row r="140" spans="1:9" s="51" customFormat="1" ht="15" customHeight="1" x14ac:dyDescent="0.2">
      <c r="A140" s="15" t="s">
        <v>219</v>
      </c>
      <c r="B140" s="171">
        <f>[87]Fevereiro!$C$9</f>
        <v>2.621</v>
      </c>
      <c r="C140" s="163">
        <f t="shared" si="17"/>
        <v>215.35301367451143</v>
      </c>
      <c r="D140" s="164">
        <f t="shared" si="22"/>
        <v>-4.1681901279707496</v>
      </c>
      <c r="E140" s="164">
        <f t="shared" ref="E140:E150" si="25">100*(B140/$B$138-1)</f>
        <v>1.0798303123794817</v>
      </c>
      <c r="F140" s="167">
        <f t="shared" si="20"/>
        <v>0.69150979638876731</v>
      </c>
      <c r="G140" s="170">
        <f t="shared" si="21"/>
        <v>4.4639298525309012</v>
      </c>
      <c r="H140" s="166">
        <f t="shared" si="24"/>
        <v>1.6054940862266311</v>
      </c>
      <c r="I140" s="60"/>
    </row>
    <row r="141" spans="1:9" s="51" customFormat="1" ht="15" customHeight="1" x14ac:dyDescent="0.2">
      <c r="A141" s="15" t="s">
        <v>220</v>
      </c>
      <c r="B141" s="171">
        <f>[87]Março!$C$9</f>
        <v>2.6669999999999994</v>
      </c>
      <c r="C141" s="163">
        <f t="shared" si="17"/>
        <v>219.13257820294612</v>
      </c>
      <c r="D141" s="164">
        <f t="shared" si="22"/>
        <v>1.7550553223960152</v>
      </c>
      <c r="E141" s="164">
        <f t="shared" si="25"/>
        <v>2.8538372541457635</v>
      </c>
      <c r="F141" s="167">
        <f t="shared" si="20"/>
        <v>3.5728155339805667</v>
      </c>
      <c r="G141" s="170">
        <f t="shared" si="21"/>
        <v>6.509584664536705</v>
      </c>
      <c r="H141" s="166">
        <f t="shared" si="24"/>
        <v>1.5778027746531689</v>
      </c>
      <c r="I141" s="60"/>
    </row>
    <row r="142" spans="1:9" s="51" customFormat="1" ht="15" customHeight="1" x14ac:dyDescent="0.2">
      <c r="A142" s="15" t="s">
        <v>221</v>
      </c>
      <c r="B142" s="171">
        <f>[87]Abril!$C$9</f>
        <v>2.89</v>
      </c>
      <c r="C142" s="163">
        <f t="shared" si="17"/>
        <v>237.45524972122777</v>
      </c>
      <c r="D142" s="164">
        <f>100*(B142/B141-1)</f>
        <v>8.361454818147763</v>
      </c>
      <c r="E142" s="164">
        <f t="shared" si="25"/>
        <v>11.453914384882392</v>
      </c>
      <c r="F142" s="167">
        <f t="shared" si="20"/>
        <v>12.978889757623158</v>
      </c>
      <c r="G142" s="170">
        <f t="shared" si="21"/>
        <v>15.785256410256409</v>
      </c>
      <c r="H142" s="166">
        <f t="shared" si="24"/>
        <v>1.4560553633217994</v>
      </c>
      <c r="I142" s="60"/>
    </row>
    <row r="143" spans="1:9" s="51" customFormat="1" ht="15" customHeight="1" x14ac:dyDescent="0.2">
      <c r="A143" s="15" t="s">
        <v>222</v>
      </c>
      <c r="B143" s="171">
        <f>[87]Maio!$C$9</f>
        <v>2.8000000000000003</v>
      </c>
      <c r="C143" s="163">
        <f t="shared" si="17"/>
        <v>230.06044955689887</v>
      </c>
      <c r="D143" s="164">
        <f t="shared" ref="D143:D200" si="26">100*(B143/B142-1)</f>
        <v>-3.1141868512110649</v>
      </c>
      <c r="E143" s="164">
        <f t="shared" si="25"/>
        <v>7.9830312379483237</v>
      </c>
      <c r="F143" s="167">
        <f t="shared" si="20"/>
        <v>10.062893081761004</v>
      </c>
      <c r="G143" s="170">
        <f t="shared" si="21"/>
        <v>12.540192926045023</v>
      </c>
      <c r="H143" s="166">
        <f t="shared" si="24"/>
        <v>1.5028571428571427</v>
      </c>
      <c r="I143" s="60"/>
    </row>
    <row r="144" spans="1:9" s="51" customFormat="1" ht="15" customHeight="1" x14ac:dyDescent="0.2">
      <c r="A144" s="15" t="s">
        <v>223</v>
      </c>
      <c r="B144" s="171">
        <f>[87]Junho!$C$9</f>
        <v>2.7600000000000002</v>
      </c>
      <c r="C144" s="163">
        <f t="shared" si="17"/>
        <v>226.77387170608603</v>
      </c>
      <c r="D144" s="164">
        <f t="shared" si="26"/>
        <v>-1.4285714285714346</v>
      </c>
      <c r="E144" s="164">
        <f t="shared" si="25"/>
        <v>6.4404165059776419</v>
      </c>
      <c r="F144" s="167">
        <f t="shared" si="20"/>
        <v>8.7899093417422414</v>
      </c>
      <c r="G144" s="170">
        <f t="shared" si="21"/>
        <v>11.290322580645196</v>
      </c>
      <c r="H144" s="166">
        <f t="shared" si="24"/>
        <v>1.5246376811594202</v>
      </c>
      <c r="I144" s="60"/>
    </row>
    <row r="145" spans="1:9" s="51" customFormat="1" ht="15" customHeight="1" x14ac:dyDescent="0.2">
      <c r="A145" s="15" t="s">
        <v>224</v>
      </c>
      <c r="B145" s="171">
        <f>[87]Julho!$C$9</f>
        <v>2.7570000000000006</v>
      </c>
      <c r="C145" s="163">
        <f t="shared" si="17"/>
        <v>226.52737836727511</v>
      </c>
      <c r="D145" s="164">
        <f t="shared" si="26"/>
        <v>-0.10869565217389576</v>
      </c>
      <c r="E145" s="164">
        <f t="shared" si="25"/>
        <v>6.324720401079853</v>
      </c>
      <c r="F145" s="167">
        <f t="shared" si="20"/>
        <v>8.5860575029539365</v>
      </c>
      <c r="G145" s="170">
        <f t="shared" si="21"/>
        <v>10.99033816425119</v>
      </c>
      <c r="H145" s="166">
        <f t="shared" si="24"/>
        <v>1.5262966993108449</v>
      </c>
      <c r="I145" s="60"/>
    </row>
    <row r="146" spans="1:9" s="51" customFormat="1" ht="15" customHeight="1" x14ac:dyDescent="0.2">
      <c r="A146" s="15" t="s">
        <v>225</v>
      </c>
      <c r="B146" s="171">
        <f>[87]Agosto!$C$9</f>
        <v>2.7559999999999998</v>
      </c>
      <c r="C146" s="163">
        <f t="shared" si="17"/>
        <v>226.44521392100472</v>
      </c>
      <c r="D146" s="164">
        <f t="shared" si="26"/>
        <v>-3.6271309394297901E-2</v>
      </c>
      <c r="E146" s="164">
        <f t="shared" si="25"/>
        <v>6.2861550327805604</v>
      </c>
      <c r="F146" s="167">
        <f t="shared" si="20"/>
        <v>8.2907662082514868</v>
      </c>
      <c r="G146" s="170">
        <f t="shared" si="21"/>
        <v>10.860820595333864</v>
      </c>
      <c r="H146" s="166">
        <f t="shared" si="24"/>
        <v>1.5268505079825836</v>
      </c>
      <c r="I146" s="60"/>
    </row>
    <row r="147" spans="1:9" s="51" customFormat="1" ht="15" customHeight="1" x14ac:dyDescent="0.2">
      <c r="A147" s="15" t="s">
        <v>226</v>
      </c>
      <c r="B147" s="171">
        <f>[87]Setembro!$C$9</f>
        <v>2.7330000000000001</v>
      </c>
      <c r="C147" s="163">
        <f t="shared" si="17"/>
        <v>224.55543165678739</v>
      </c>
      <c r="D147" s="164">
        <f t="shared" si="26"/>
        <v>-0.83454281567487687</v>
      </c>
      <c r="E147" s="164">
        <f t="shared" si="25"/>
        <v>5.3991515618974306</v>
      </c>
      <c r="F147" s="167">
        <f t="shared" si="20"/>
        <v>7.2605965463108602</v>
      </c>
      <c r="G147" s="170">
        <f t="shared" si="21"/>
        <v>10.379644588045256</v>
      </c>
      <c r="H147" s="166">
        <f t="shared" si="24"/>
        <v>1.539699963410172</v>
      </c>
      <c r="I147" s="60"/>
    </row>
    <row r="148" spans="1:9" s="51" customFormat="1" ht="15" customHeight="1" x14ac:dyDescent="0.2">
      <c r="A148" s="15" t="s">
        <v>227</v>
      </c>
      <c r="B148" s="171">
        <f>[87]Outubro!$C$9</f>
        <v>2.7450000000000006</v>
      </c>
      <c r="C148" s="163">
        <f t="shared" si="17"/>
        <v>225.54140501203128</v>
      </c>
      <c r="D148" s="164">
        <f t="shared" si="26"/>
        <v>0.4390779363337094</v>
      </c>
      <c r="E148" s="164">
        <f t="shared" si="25"/>
        <v>5.8619359814886529</v>
      </c>
      <c r="F148" s="167">
        <f t="shared" si="20"/>
        <v>6.5192083818393476</v>
      </c>
      <c r="G148" s="170">
        <f t="shared" si="21"/>
        <v>9.1017488076312159</v>
      </c>
      <c r="H148" s="166">
        <f t="shared" si="24"/>
        <v>1.5329690346083786</v>
      </c>
      <c r="I148" s="60"/>
    </row>
    <row r="149" spans="1:9" s="51" customFormat="1" ht="15" customHeight="1" x14ac:dyDescent="0.2">
      <c r="A149" s="15" t="s">
        <v>228</v>
      </c>
      <c r="B149" s="171">
        <f>[87]Novembro!$C$9</f>
        <v>2.75</v>
      </c>
      <c r="C149" s="163">
        <f t="shared" si="17"/>
        <v>225.95222724338282</v>
      </c>
      <c r="D149" s="164">
        <f t="shared" si="26"/>
        <v>0.18214936247720193</v>
      </c>
      <c r="E149" s="164">
        <f t="shared" si="25"/>
        <v>6.0547628229849604</v>
      </c>
      <c r="F149" s="167">
        <f t="shared" si="20"/>
        <v>6.3829787234042312</v>
      </c>
      <c r="G149" s="170">
        <f t="shared" si="21"/>
        <v>8.4384858044163735</v>
      </c>
      <c r="H149" s="166">
        <f t="shared" si="24"/>
        <v>1.5301818181818183</v>
      </c>
      <c r="I149" s="60"/>
    </row>
    <row r="150" spans="1:9" s="51" customFormat="1" ht="15" customHeight="1" x14ac:dyDescent="0.2">
      <c r="A150" s="15" t="s">
        <v>229</v>
      </c>
      <c r="B150" s="171">
        <f>[87]Dezembro!$C$9</f>
        <v>2.7540000000000004</v>
      </c>
      <c r="C150" s="163">
        <f t="shared" si="17"/>
        <v>226.28088502846413</v>
      </c>
      <c r="D150" s="164">
        <f t="shared" si="26"/>
        <v>0.14545454545455971</v>
      </c>
      <c r="E150" s="164">
        <f t="shared" si="25"/>
        <v>6.2090242961820419</v>
      </c>
      <c r="F150" s="167">
        <f t="shared" si="20"/>
        <v>6.2090242961820419</v>
      </c>
      <c r="G150" s="170">
        <f t="shared" si="21"/>
        <v>8.3398898505113941</v>
      </c>
      <c r="H150" s="166">
        <f t="shared" si="24"/>
        <v>1.5279593318809004</v>
      </c>
      <c r="I150" s="60"/>
    </row>
    <row r="151" spans="1:9" s="51" customFormat="1" ht="15" customHeight="1" x14ac:dyDescent="0.2">
      <c r="A151" s="15" t="s">
        <v>230</v>
      </c>
      <c r="B151" s="171">
        <f>[88]Janeiro!$C$9</f>
        <v>2.7429999999999994</v>
      </c>
      <c r="C151" s="163">
        <f t="shared" si="17"/>
        <v>225.37707611949054</v>
      </c>
      <c r="D151" s="164">
        <f t="shared" si="26"/>
        <v>-0.39941902687004038</v>
      </c>
      <c r="E151" s="164">
        <f>100*(B151/$B$150-1)</f>
        <v>-0.39941902687004038</v>
      </c>
      <c r="F151" s="167">
        <f t="shared" si="20"/>
        <v>0.29250457038390021</v>
      </c>
      <c r="G151" s="170">
        <f t="shared" si="21"/>
        <v>6.1121856866537261</v>
      </c>
      <c r="H151" s="166">
        <f t="shared" si="24"/>
        <v>1.5340867663142548</v>
      </c>
      <c r="I151" s="60"/>
    </row>
    <row r="152" spans="1:9" s="51" customFormat="1" ht="15" customHeight="1" x14ac:dyDescent="0.2">
      <c r="A152" s="15" t="s">
        <v>231</v>
      </c>
      <c r="B152" s="171">
        <f>[88]Fevereiro!$C$9</f>
        <v>2.7339999999999995</v>
      </c>
      <c r="C152" s="163">
        <f t="shared" si="17"/>
        <v>224.63759610305766</v>
      </c>
      <c r="D152" s="164">
        <f t="shared" si="26"/>
        <v>-0.32810791104629367</v>
      </c>
      <c r="E152" s="164">
        <f t="shared" ref="E152:E162" si="27">100*(B152/$B$150-1)</f>
        <v>-0.72621641249095426</v>
      </c>
      <c r="F152" s="167">
        <f t="shared" si="20"/>
        <v>4.3113315528424012</v>
      </c>
      <c r="G152" s="170">
        <f t="shared" si="21"/>
        <v>5.0326546292738916</v>
      </c>
      <c r="H152" s="166">
        <f t="shared" si="24"/>
        <v>1.5391367959034385</v>
      </c>
      <c r="I152" s="60"/>
    </row>
    <row r="153" spans="1:9" s="51" customFormat="1" ht="15" customHeight="1" x14ac:dyDescent="0.2">
      <c r="A153" s="15" t="s">
        <v>232</v>
      </c>
      <c r="B153" s="171">
        <f>[88]Março!$E$9</f>
        <v>2.7410000000000001</v>
      </c>
      <c r="C153" s="163">
        <f t="shared" si="17"/>
        <v>225.21274722694994</v>
      </c>
      <c r="D153" s="164">
        <f t="shared" si="26"/>
        <v>0.25603511338700979</v>
      </c>
      <c r="E153" s="164">
        <f t="shared" si="27"/>
        <v>-0.47204066811911138</v>
      </c>
      <c r="F153" s="167">
        <f t="shared" si="20"/>
        <v>2.774653168353991</v>
      </c>
      <c r="G153" s="170">
        <f t="shared" si="21"/>
        <v>6.4466019417475984</v>
      </c>
      <c r="H153" s="166">
        <f t="shared" si="24"/>
        <v>1.5352061291499453</v>
      </c>
      <c r="I153" s="60"/>
    </row>
    <row r="154" spans="1:9" s="51" customFormat="1" ht="15" customHeight="1" x14ac:dyDescent="0.2">
      <c r="A154" s="15" t="s">
        <v>233</v>
      </c>
      <c r="B154" s="171">
        <f>[88]Abril!$E$9</f>
        <v>2.7410000000000001</v>
      </c>
      <c r="C154" s="163">
        <f t="shared" si="17"/>
        <v>225.21274722694994</v>
      </c>
      <c r="D154" s="164">
        <f t="shared" si="26"/>
        <v>0</v>
      </c>
      <c r="E154" s="164">
        <f t="shared" si="27"/>
        <v>-0.47204066811911138</v>
      </c>
      <c r="F154" s="167">
        <f t="shared" si="20"/>
        <v>-5.1557093425605549</v>
      </c>
      <c r="G154" s="170">
        <f t="shared" si="21"/>
        <v>7.1540265832681804</v>
      </c>
      <c r="H154" s="166">
        <f t="shared" si="24"/>
        <v>1.5352061291499453</v>
      </c>
      <c r="I154" s="60"/>
    </row>
    <row r="155" spans="1:9" s="51" customFormat="1" ht="15" customHeight="1" x14ac:dyDescent="0.2">
      <c r="A155" s="15" t="s">
        <v>234</v>
      </c>
      <c r="B155" s="171">
        <f>[88]Maio!$E$9</f>
        <v>2.7349999999999999</v>
      </c>
      <c r="C155" s="163">
        <f t="shared" si="17"/>
        <v>224.71976054932802</v>
      </c>
      <c r="D155" s="164">
        <f t="shared" si="26"/>
        <v>-0.21889821233127549</v>
      </c>
      <c r="E155" s="164">
        <f t="shared" si="27"/>
        <v>-0.6899055918664021</v>
      </c>
      <c r="F155" s="167">
        <f t="shared" si="20"/>
        <v>-2.3214285714285854</v>
      </c>
      <c r="G155" s="170">
        <f t="shared" si="21"/>
        <v>7.5078616352201255</v>
      </c>
      <c r="H155" s="166">
        <f t="shared" si="24"/>
        <v>1.5385740402193786</v>
      </c>
      <c r="I155" s="60"/>
    </row>
    <row r="156" spans="1:9" s="51" customFormat="1" ht="15" customHeight="1" x14ac:dyDescent="0.2">
      <c r="A156" s="15" t="s">
        <v>235</v>
      </c>
      <c r="B156" s="171">
        <f>[88]Junho!$E$9</f>
        <v>2.7269999999999999</v>
      </c>
      <c r="C156" s="163">
        <f t="shared" si="17"/>
        <v>224.06244497916543</v>
      </c>
      <c r="D156" s="164">
        <f t="shared" si="26"/>
        <v>-0.29250457038391131</v>
      </c>
      <c r="E156" s="164">
        <f t="shared" si="27"/>
        <v>-0.98039215686276382</v>
      </c>
      <c r="F156" s="167">
        <f t="shared" si="20"/>
        <v>-1.1956521739130532</v>
      </c>
      <c r="G156" s="170">
        <f t="shared" si="21"/>
        <v>7.4891604256996702</v>
      </c>
      <c r="H156" s="166">
        <f t="shared" si="24"/>
        <v>1.5430876420975432</v>
      </c>
      <c r="I156" s="60"/>
    </row>
    <row r="157" spans="1:9" s="51" customFormat="1" ht="15" customHeight="1" x14ac:dyDescent="0.2">
      <c r="A157" s="15" t="s">
        <v>236</v>
      </c>
      <c r="B157" s="171">
        <f>[88]Julho!$E$9</f>
        <v>2.7269999999999999</v>
      </c>
      <c r="C157" s="163">
        <f t="shared" si="17"/>
        <v>224.06244497916543</v>
      </c>
      <c r="D157" s="164">
        <f t="shared" si="26"/>
        <v>0</v>
      </c>
      <c r="E157" s="164">
        <f t="shared" si="27"/>
        <v>-0.98039215686276382</v>
      </c>
      <c r="F157" s="167">
        <f t="shared" si="20"/>
        <v>-1.0881392818281044</v>
      </c>
      <c r="G157" s="170">
        <f t="shared" si="21"/>
        <v>7.4044899566758415</v>
      </c>
      <c r="H157" s="166">
        <f t="shared" si="24"/>
        <v>1.5430876420975432</v>
      </c>
      <c r="I157" s="60"/>
    </row>
    <row r="158" spans="1:9" s="51" customFormat="1" ht="15" customHeight="1" x14ac:dyDescent="0.2">
      <c r="A158" s="15" t="s">
        <v>237</v>
      </c>
      <c r="B158" s="171">
        <f>[88]Agosto!$E$9</f>
        <v>2.7229999999999994</v>
      </c>
      <c r="C158" s="163">
        <f t="shared" si="17"/>
        <v>223.73378719408413</v>
      </c>
      <c r="D158" s="164">
        <f t="shared" si="26"/>
        <v>-0.14668133480015833</v>
      </c>
      <c r="E158" s="164">
        <f t="shared" si="27"/>
        <v>-1.1256354393609613</v>
      </c>
      <c r="F158" s="167">
        <f t="shared" si="20"/>
        <v>-1.1973875181422455</v>
      </c>
      <c r="G158" s="170">
        <f t="shared" si="21"/>
        <v>6.9941060903732755</v>
      </c>
      <c r="H158" s="166">
        <f t="shared" si="24"/>
        <v>1.5453543885420495</v>
      </c>
      <c r="I158" s="60"/>
    </row>
    <row r="159" spans="1:9" s="51" customFormat="1" ht="15" customHeight="1" x14ac:dyDescent="0.2">
      <c r="A159" s="15" t="s">
        <v>238</v>
      </c>
      <c r="B159" s="171">
        <f>[88]Setembro!$E$9</f>
        <v>2.7250000000000005</v>
      </c>
      <c r="C159" s="163">
        <f t="shared" si="17"/>
        <v>223.89811608662484</v>
      </c>
      <c r="D159" s="164">
        <f t="shared" si="26"/>
        <v>7.3448402497278131E-2</v>
      </c>
      <c r="E159" s="164">
        <f t="shared" si="27"/>
        <v>-1.0530137981118348</v>
      </c>
      <c r="F159" s="167">
        <f t="shared" si="20"/>
        <v>-0.29271862422245443</v>
      </c>
      <c r="G159" s="170">
        <f t="shared" si="21"/>
        <v>6.9466248037677092</v>
      </c>
      <c r="H159" s="166">
        <f t="shared" si="24"/>
        <v>1.5442201834862384</v>
      </c>
      <c r="I159" s="60"/>
    </row>
    <row r="160" spans="1:9" s="51" customFormat="1" ht="15" customHeight="1" x14ac:dyDescent="0.2">
      <c r="A160" s="15" t="s">
        <v>239</v>
      </c>
      <c r="B160" s="171">
        <f>[88]Outubro!$E$9</f>
        <v>2.7319999999999998</v>
      </c>
      <c r="C160" s="163">
        <f t="shared" si="17"/>
        <v>224.47326721051704</v>
      </c>
      <c r="D160" s="164">
        <f t="shared" si="26"/>
        <v>0.25688073394491973</v>
      </c>
      <c r="E160" s="164">
        <f t="shared" si="27"/>
        <v>-0.79883805374003636</v>
      </c>
      <c r="F160" s="167">
        <f t="shared" si="20"/>
        <v>-0.47358834244083381</v>
      </c>
      <c r="G160" s="170">
        <f t="shared" si="21"/>
        <v>6.0147458284827149</v>
      </c>
      <c r="H160" s="166">
        <f t="shared" si="24"/>
        <v>1.540263543191801</v>
      </c>
      <c r="I160" s="60"/>
    </row>
    <row r="161" spans="1:9" s="51" customFormat="1" ht="15" customHeight="1" x14ac:dyDescent="0.2">
      <c r="A161" s="15" t="s">
        <v>240</v>
      </c>
      <c r="B161" s="171">
        <f>[88]Novembro!$E$9</f>
        <v>2.7480000000000007</v>
      </c>
      <c r="C161" s="163">
        <f t="shared" si="17"/>
        <v>225.78789835084223</v>
      </c>
      <c r="D161" s="164">
        <f t="shared" si="26"/>
        <v>0.58565153733531883</v>
      </c>
      <c r="E161" s="164">
        <f t="shared" si="27"/>
        <v>-0.21786492374726851</v>
      </c>
      <c r="F161" s="167">
        <f t="shared" si="20"/>
        <v>-7.272727272724655E-2</v>
      </c>
      <c r="G161" s="170">
        <f t="shared" si="21"/>
        <v>6.3056092843327027</v>
      </c>
      <c r="H161" s="166">
        <f t="shared" si="24"/>
        <v>1.531295487627365</v>
      </c>
      <c r="I161" s="60"/>
    </row>
    <row r="162" spans="1:9" s="51" customFormat="1" ht="15" customHeight="1" x14ac:dyDescent="0.2">
      <c r="A162" s="15" t="s">
        <v>241</v>
      </c>
      <c r="B162" s="171">
        <f>[88]Dezembro!$E$9</f>
        <v>2.7559999999999998</v>
      </c>
      <c r="C162" s="163">
        <f t="shared" si="17"/>
        <v>226.44521392100472</v>
      </c>
      <c r="D162" s="164">
        <f t="shared" si="26"/>
        <v>0.29112081513824606</v>
      </c>
      <c r="E162" s="164">
        <f t="shared" si="27"/>
        <v>7.2621641249059898E-2</v>
      </c>
      <c r="F162" s="167">
        <f t="shared" si="20"/>
        <v>7.2621641249059898E-2</v>
      </c>
      <c r="G162" s="170">
        <f t="shared" si="21"/>
        <v>6.2861550327805604</v>
      </c>
      <c r="H162" s="166">
        <f t="shared" si="24"/>
        <v>1.5268505079825836</v>
      </c>
      <c r="I162" s="60"/>
    </row>
    <row r="163" spans="1:9" s="51" customFormat="1" ht="15" customHeight="1" x14ac:dyDescent="0.2">
      <c r="A163" s="15" t="s">
        <v>242</v>
      </c>
      <c r="B163" s="171">
        <f>[89]Janeiro!$E$9</f>
        <v>2.7719999999999994</v>
      </c>
      <c r="C163" s="163">
        <f t="shared" si="17"/>
        <v>227.75984506132983</v>
      </c>
      <c r="D163" s="164">
        <f t="shared" si="26"/>
        <v>0.58055152394773657</v>
      </c>
      <c r="E163" s="164">
        <f>100*(B163/$B$162-1)</f>
        <v>0.58055152394773657</v>
      </c>
      <c r="F163" s="167">
        <f t="shared" si="20"/>
        <v>1.0572366022602919</v>
      </c>
      <c r="G163" s="170">
        <f t="shared" si="21"/>
        <v>1.3528336380255856</v>
      </c>
      <c r="H163" s="166">
        <f t="shared" si="24"/>
        <v>1.5180375180375185</v>
      </c>
      <c r="I163" s="60"/>
    </row>
    <row r="164" spans="1:9" s="51" customFormat="1" ht="15" customHeight="1" x14ac:dyDescent="0.2">
      <c r="A164" s="15" t="s">
        <v>243</v>
      </c>
      <c r="B164" s="171">
        <f>[89]Fevereiro!$E$9</f>
        <v>2.8889999999999998</v>
      </c>
      <c r="C164" s="163">
        <f t="shared" si="17"/>
        <v>237.37308527495742</v>
      </c>
      <c r="D164" s="164">
        <f t="shared" si="26"/>
        <v>4.2207792207792361</v>
      </c>
      <c r="E164" s="164">
        <f t="shared" ref="E164:E174" si="28">100*(B164/$B$162-1)</f>
        <v>4.8258345428156657</v>
      </c>
      <c r="F164" s="167">
        <f t="shared" si="20"/>
        <v>5.6693489392831031</v>
      </c>
      <c r="G164" s="170">
        <f t="shared" si="21"/>
        <v>10.225104921785565</v>
      </c>
      <c r="H164" s="166">
        <f t="shared" si="24"/>
        <v>1.4565593631014193</v>
      </c>
      <c r="I164" s="60"/>
    </row>
    <row r="165" spans="1:9" s="51" customFormat="1" ht="15" customHeight="1" x14ac:dyDescent="0.2">
      <c r="A165" s="15" t="s">
        <v>244</v>
      </c>
      <c r="B165" s="171">
        <f>[89]Março!$E$9</f>
        <v>2.8780000000000001</v>
      </c>
      <c r="C165" s="163">
        <f t="shared" si="17"/>
        <v>236.46927636598392</v>
      </c>
      <c r="D165" s="164">
        <f t="shared" si="26"/>
        <v>-0.38075458636205317</v>
      </c>
      <c r="E165" s="164">
        <f t="shared" si="28"/>
        <v>4.4267053701016135</v>
      </c>
      <c r="F165" s="167">
        <f t="shared" si="20"/>
        <v>4.9981758482305683</v>
      </c>
      <c r="G165" s="170">
        <f t="shared" si="21"/>
        <v>7.9115110611173822</v>
      </c>
      <c r="H165" s="166">
        <f t="shared" si="24"/>
        <v>1.4621264767199444</v>
      </c>
      <c r="I165" s="60"/>
    </row>
    <row r="166" spans="1:9" s="51" customFormat="1" ht="15" customHeight="1" x14ac:dyDescent="0.2">
      <c r="A166" s="15" t="s">
        <v>245</v>
      </c>
      <c r="B166" s="171">
        <f>[89]Abril!$E$9</f>
        <v>2.875</v>
      </c>
      <c r="C166" s="163">
        <f t="shared" si="17"/>
        <v>236.22278302717297</v>
      </c>
      <c r="D166" s="164">
        <f t="shared" si="26"/>
        <v>-0.10423905489923557</v>
      </c>
      <c r="E166" s="164">
        <f t="shared" si="28"/>
        <v>4.3178519593614073</v>
      </c>
      <c r="F166" s="167">
        <f t="shared" si="20"/>
        <v>4.8887267420649305</v>
      </c>
      <c r="G166" s="170">
        <f t="shared" si="21"/>
        <v>-0.51903114186852006</v>
      </c>
      <c r="H166" s="166">
        <f t="shared" si="24"/>
        <v>1.4636521739130435</v>
      </c>
      <c r="I166" s="60"/>
    </row>
    <row r="167" spans="1:9" s="51" customFormat="1" ht="15" customHeight="1" x14ac:dyDescent="0.2">
      <c r="A167" s="15" t="s">
        <v>246</v>
      </c>
      <c r="B167" s="171">
        <f>[89]Maio!$E$9</f>
        <v>2.8530000000000006</v>
      </c>
      <c r="C167" s="163">
        <f t="shared" si="17"/>
        <v>234.41516520922596</v>
      </c>
      <c r="D167" s="164">
        <f t="shared" si="26"/>
        <v>-0.7652173913043292</v>
      </c>
      <c r="E167" s="164">
        <f t="shared" si="28"/>
        <v>3.5195936139332584</v>
      </c>
      <c r="F167" s="167">
        <f t="shared" si="20"/>
        <v>4.3144424131627446</v>
      </c>
      <c r="G167" s="170">
        <f t="shared" si="21"/>
        <v>1.8928571428571628</v>
      </c>
      <c r="H167" s="166">
        <f t="shared" si="24"/>
        <v>1.4749386610585347</v>
      </c>
      <c r="I167" s="60"/>
    </row>
    <row r="168" spans="1:9" s="51" customFormat="1" ht="15" customHeight="1" x14ac:dyDescent="0.2">
      <c r="A168" s="15" t="s">
        <v>247</v>
      </c>
      <c r="B168" s="171">
        <f>[89]Junho!$E$9</f>
        <v>2.8440000000000003</v>
      </c>
      <c r="C168" s="163">
        <f t="shared" si="17"/>
        <v>233.67568519279303</v>
      </c>
      <c r="D168" s="164">
        <f t="shared" si="26"/>
        <v>-0.3154574132492205</v>
      </c>
      <c r="E168" s="164">
        <f t="shared" si="28"/>
        <v>3.19303338171264</v>
      </c>
      <c r="F168" s="167">
        <f t="shared" si="20"/>
        <v>4.290429042904309</v>
      </c>
      <c r="G168" s="170">
        <f t="shared" si="21"/>
        <v>3.0434782608695699</v>
      </c>
      <c r="H168" s="166">
        <f t="shared" si="24"/>
        <v>1.4796061884669478</v>
      </c>
      <c r="I168" s="60"/>
    </row>
    <row r="169" spans="1:9" s="51" customFormat="1" ht="15" customHeight="1" x14ac:dyDescent="0.2">
      <c r="A169" s="15" t="s">
        <v>248</v>
      </c>
      <c r="B169" s="171">
        <f>[89]Julho!$E$9</f>
        <v>2.84</v>
      </c>
      <c r="C169" s="163">
        <f t="shared" si="17"/>
        <v>233.34702740771172</v>
      </c>
      <c r="D169" s="164">
        <f t="shared" si="26"/>
        <v>-0.14064697609003085</v>
      </c>
      <c r="E169" s="164">
        <f t="shared" si="28"/>
        <v>3.0478955007256836</v>
      </c>
      <c r="F169" s="167">
        <f t="shared" si="20"/>
        <v>4.1437477081041507</v>
      </c>
      <c r="G169" s="170">
        <f t="shared" si="21"/>
        <v>3.0105186797243055</v>
      </c>
      <c r="H169" s="166">
        <f t="shared" si="24"/>
        <v>1.4816901408450707</v>
      </c>
      <c r="I169" s="60"/>
    </row>
    <row r="170" spans="1:9" s="51" customFormat="1" ht="15" customHeight="1" x14ac:dyDescent="0.2">
      <c r="A170" s="15" t="s">
        <v>249</v>
      </c>
      <c r="B170" s="171">
        <f>[89]Agosto!$E$9</f>
        <v>2.8350000000000004</v>
      </c>
      <c r="C170" s="163">
        <f t="shared" si="17"/>
        <v>232.93620517636015</v>
      </c>
      <c r="D170" s="164">
        <f t="shared" si="26"/>
        <v>-0.17605633802815213</v>
      </c>
      <c r="E170" s="164">
        <f t="shared" si="28"/>
        <v>2.8664731494920437</v>
      </c>
      <c r="F170" s="167">
        <f t="shared" si="20"/>
        <v>4.113110539845799</v>
      </c>
      <c r="G170" s="170">
        <f t="shared" si="21"/>
        <v>2.8664731494920437</v>
      </c>
      <c r="H170" s="166">
        <f t="shared" si="24"/>
        <v>1.4843033509700174</v>
      </c>
      <c r="I170" s="60"/>
    </row>
    <row r="171" spans="1:9" s="51" customFormat="1" ht="15" customHeight="1" x14ac:dyDescent="0.2">
      <c r="A171" s="15" t="s">
        <v>250</v>
      </c>
      <c r="B171" s="171">
        <f>[89]Setembro!$E$9</f>
        <v>2.8350000000000004</v>
      </c>
      <c r="C171" s="163">
        <f t="shared" ref="C171:C200" si="29">100*B171/B$7</f>
        <v>232.93620517636015</v>
      </c>
      <c r="D171" s="164">
        <f t="shared" si="26"/>
        <v>0</v>
      </c>
      <c r="E171" s="164">
        <f t="shared" si="28"/>
        <v>2.8664731494920437</v>
      </c>
      <c r="F171" s="167">
        <f t="shared" si="20"/>
        <v>4.0366972477064111</v>
      </c>
      <c r="G171" s="170">
        <f t="shared" si="21"/>
        <v>3.7321624588364521</v>
      </c>
      <c r="H171" s="166">
        <f t="shared" si="24"/>
        <v>1.4843033509700174</v>
      </c>
      <c r="I171" s="60"/>
    </row>
    <row r="172" spans="1:9" s="51" customFormat="1" ht="15" customHeight="1" x14ac:dyDescent="0.2">
      <c r="A172" s="15" t="s">
        <v>251</v>
      </c>
      <c r="B172" s="171">
        <f>[89]Outubro!$E$9</f>
        <v>2.8380000000000005</v>
      </c>
      <c r="C172" s="163">
        <f t="shared" si="29"/>
        <v>233.18269851517113</v>
      </c>
      <c r="D172" s="164">
        <f t="shared" si="26"/>
        <v>0.10582010582012025</v>
      </c>
      <c r="E172" s="164">
        <f t="shared" si="28"/>
        <v>2.9753265602322498</v>
      </c>
      <c r="F172" s="167">
        <f t="shared" si="20"/>
        <v>3.8799414348462902</v>
      </c>
      <c r="G172" s="170">
        <f t="shared" si="21"/>
        <v>3.3879781420764976</v>
      </c>
      <c r="H172" s="166">
        <f t="shared" si="24"/>
        <v>1.482734319943622</v>
      </c>
      <c r="I172" s="60"/>
    </row>
    <row r="173" spans="1:9" s="51" customFormat="1" ht="15" customHeight="1" x14ac:dyDescent="0.2">
      <c r="A173" s="15" t="s">
        <v>252</v>
      </c>
      <c r="B173" s="171">
        <f>[89]Novembro!$E$9</f>
        <v>2.8490000000000002</v>
      </c>
      <c r="C173" s="163">
        <f t="shared" si="29"/>
        <v>234.08650742414463</v>
      </c>
      <c r="D173" s="164">
        <f t="shared" si="26"/>
        <v>0.38759689922478469</v>
      </c>
      <c r="E173" s="164">
        <f t="shared" si="28"/>
        <v>3.3744557329463243</v>
      </c>
      <c r="F173" s="167">
        <f t="shared" si="20"/>
        <v>3.6754002911207895</v>
      </c>
      <c r="G173" s="170">
        <f t="shared" si="21"/>
        <v>3.6000000000000032</v>
      </c>
      <c r="H173" s="166">
        <f t="shared" si="24"/>
        <v>1.477009477009477</v>
      </c>
      <c r="I173" s="60"/>
    </row>
    <row r="174" spans="1:9" s="51" customFormat="1" ht="15" customHeight="1" x14ac:dyDescent="0.2">
      <c r="A174" s="15" t="s">
        <v>253</v>
      </c>
      <c r="B174" s="171">
        <f>[89]Dezembro!$E$9</f>
        <v>2.9510000000000001</v>
      </c>
      <c r="C174" s="163">
        <f t="shared" si="29"/>
        <v>242.46728094371738</v>
      </c>
      <c r="D174" s="164">
        <f t="shared" si="26"/>
        <v>3.580203580203567</v>
      </c>
      <c r="E174" s="164">
        <f t="shared" si="28"/>
        <v>7.0754716981132226</v>
      </c>
      <c r="F174" s="167">
        <f t="shared" si="20"/>
        <v>7.0754716981132226</v>
      </c>
      <c r="G174" s="170">
        <f t="shared" si="21"/>
        <v>7.1532316630355641</v>
      </c>
      <c r="H174" s="166">
        <f t="shared" si="24"/>
        <v>1.4259573026092851</v>
      </c>
      <c r="I174" s="60"/>
    </row>
    <row r="175" spans="1:9" s="51" customFormat="1" ht="15" customHeight="1" x14ac:dyDescent="0.2">
      <c r="A175" s="15" t="s">
        <v>254</v>
      </c>
      <c r="B175" s="171">
        <f>'[90]jan-14'!$E$9</f>
        <v>2.956</v>
      </c>
      <c r="C175" s="163">
        <f t="shared" si="29"/>
        <v>242.87810317506899</v>
      </c>
      <c r="D175" s="164">
        <f t="shared" si="26"/>
        <v>0.16943409013894239</v>
      </c>
      <c r="E175" s="164">
        <f>100*(B175/$B$174-1)</f>
        <v>0.16943409013894239</v>
      </c>
      <c r="F175" s="167">
        <f t="shared" si="20"/>
        <v>6.6378066378066647</v>
      </c>
      <c r="G175" s="170">
        <f t="shared" si="21"/>
        <v>7.7652205614291203</v>
      </c>
      <c r="H175" s="166">
        <f t="shared" si="24"/>
        <v>1.4235453315290933</v>
      </c>
      <c r="I175" s="60"/>
    </row>
    <row r="176" spans="1:9" s="51" customFormat="1" ht="15" customHeight="1" x14ac:dyDescent="0.2">
      <c r="A176" s="15" t="s">
        <v>255</v>
      </c>
      <c r="B176" s="171">
        <f>'[90]fev-14'!$E$9</f>
        <v>2.9580000000000006</v>
      </c>
      <c r="C176" s="163">
        <f t="shared" si="29"/>
        <v>243.04243206760967</v>
      </c>
      <c r="D176" s="164">
        <f t="shared" si="26"/>
        <v>6.7658998646846769E-2</v>
      </c>
      <c r="E176" s="164">
        <f t="shared" ref="E176:E186" si="30">100*(B176/$B$174-1)</f>
        <v>0.23720772619453268</v>
      </c>
      <c r="F176" s="167">
        <f t="shared" si="20"/>
        <v>2.3883696780893304</v>
      </c>
      <c r="G176" s="170">
        <f t="shared" si="21"/>
        <v>8.1931236283833577</v>
      </c>
      <c r="H176" s="166">
        <f t="shared" si="24"/>
        <v>1.4225828262339417</v>
      </c>
      <c r="I176" s="60"/>
    </row>
    <row r="177" spans="1:9" s="51" customFormat="1" ht="15" customHeight="1" x14ac:dyDescent="0.2">
      <c r="A177" s="15" t="s">
        <v>256</v>
      </c>
      <c r="B177" s="171">
        <f>'[90]mar-14'!$E$9</f>
        <v>2.9869999999999997</v>
      </c>
      <c r="C177" s="163">
        <f t="shared" si="29"/>
        <v>245.4252010094489</v>
      </c>
      <c r="D177" s="164">
        <f t="shared" si="26"/>
        <v>0.98039215686271941</v>
      </c>
      <c r="E177" s="164">
        <f t="shared" si="30"/>
        <v>1.2199254490003142</v>
      </c>
      <c r="F177" s="167">
        <f t="shared" si="20"/>
        <v>3.7873523280055332</v>
      </c>
      <c r="G177" s="170">
        <f t="shared" si="21"/>
        <v>8.9748267055818953</v>
      </c>
      <c r="H177" s="166">
        <f t="shared" si="24"/>
        <v>1.408771342484098</v>
      </c>
      <c r="I177" s="60"/>
    </row>
    <row r="178" spans="1:9" s="51" customFormat="1" ht="15" customHeight="1" x14ac:dyDescent="0.2">
      <c r="A178" s="15" t="s">
        <v>257</v>
      </c>
      <c r="B178" s="171">
        <f>'[90]abr-14'!$E$9</f>
        <v>2.9869999999999997</v>
      </c>
      <c r="C178" s="163">
        <f t="shared" si="29"/>
        <v>245.4252010094489</v>
      </c>
      <c r="D178" s="164">
        <f t="shared" si="26"/>
        <v>0</v>
      </c>
      <c r="E178" s="164">
        <f t="shared" si="30"/>
        <v>1.2199254490003142</v>
      </c>
      <c r="F178" s="167">
        <f t="shared" si="20"/>
        <v>3.8956521739130334</v>
      </c>
      <c r="G178" s="170">
        <f t="shared" si="21"/>
        <v>8.9748267055818953</v>
      </c>
      <c r="H178" s="166">
        <f t="shared" si="24"/>
        <v>1.408771342484098</v>
      </c>
      <c r="I178" s="60"/>
    </row>
    <row r="179" spans="1:9" s="51" customFormat="1" ht="15" customHeight="1" x14ac:dyDescent="0.2">
      <c r="A179" s="15" t="s">
        <v>258</v>
      </c>
      <c r="B179" s="171">
        <f>'[90]mai-14'!$E$9</f>
        <v>2.9839999999999995</v>
      </c>
      <c r="C179" s="163">
        <f t="shared" si="29"/>
        <v>245.17870767063792</v>
      </c>
      <c r="D179" s="164">
        <f t="shared" si="26"/>
        <v>-0.1004352192835678</v>
      </c>
      <c r="E179" s="164">
        <f t="shared" si="30"/>
        <v>1.1182649949169621</v>
      </c>
      <c r="F179" s="167">
        <f t="shared" si="20"/>
        <v>4.5916579039606997</v>
      </c>
      <c r="G179" s="170">
        <f t="shared" si="21"/>
        <v>9.1042047531992623</v>
      </c>
      <c r="H179" s="166">
        <f t="shared" si="24"/>
        <v>1.410187667560322</v>
      </c>
      <c r="I179" s="60"/>
    </row>
    <row r="180" spans="1:9" s="51" customFormat="1" ht="15" customHeight="1" x14ac:dyDescent="0.2">
      <c r="A180" s="15" t="s">
        <v>259</v>
      </c>
      <c r="B180" s="171">
        <f>'[90]jun-14'!$E$9</f>
        <v>2.9630000000000005</v>
      </c>
      <c r="C180" s="163">
        <f t="shared" si="29"/>
        <v>243.45325429896127</v>
      </c>
      <c r="D180" s="164">
        <f t="shared" si="26"/>
        <v>-0.70375335120640425</v>
      </c>
      <c r="E180" s="164">
        <f t="shared" si="30"/>
        <v>0.40664181633345287</v>
      </c>
      <c r="F180" s="167">
        <f t="shared" si="20"/>
        <v>4.184247538677921</v>
      </c>
      <c r="G180" s="170">
        <f t="shared" si="21"/>
        <v>8.654198753208675</v>
      </c>
      <c r="H180" s="166">
        <f t="shared" si="24"/>
        <v>1.4201822477219033</v>
      </c>
      <c r="I180" s="60"/>
    </row>
    <row r="181" spans="1:9" s="51" customFormat="1" ht="15" customHeight="1" x14ac:dyDescent="0.2">
      <c r="A181" s="15" t="s">
        <v>260</v>
      </c>
      <c r="B181" s="171">
        <f>'[90]jul-14'!$E$9</f>
        <v>2.9580000000000006</v>
      </c>
      <c r="C181" s="163">
        <f t="shared" si="29"/>
        <v>243.04243206760967</v>
      </c>
      <c r="D181" s="164">
        <f t="shared" si="26"/>
        <v>-0.16874789065136619</v>
      </c>
      <c r="E181" s="164">
        <f t="shared" si="30"/>
        <v>0.23720772619453268</v>
      </c>
      <c r="F181" s="167">
        <f t="shared" ref="F181:F200" si="31">(100*(B181/B169-1))</f>
        <v>4.1549295774648165</v>
      </c>
      <c r="G181" s="170">
        <f t="shared" ref="G181:G200" si="32">100*(B181/B157-1)</f>
        <v>8.4708470847084882</v>
      </c>
      <c r="H181" s="166">
        <f t="shared" si="24"/>
        <v>1.4225828262339417</v>
      </c>
      <c r="I181" s="60"/>
    </row>
    <row r="182" spans="1:9" s="51" customFormat="1" ht="15" customHeight="1" x14ac:dyDescent="0.2">
      <c r="A182" s="15" t="s">
        <v>261</v>
      </c>
      <c r="B182" s="171">
        <f>'[90]ago-14'!$E$9</f>
        <v>2.9620000000000002</v>
      </c>
      <c r="C182" s="163">
        <f t="shared" si="29"/>
        <v>243.37108985269091</v>
      </c>
      <c r="D182" s="164">
        <f t="shared" si="26"/>
        <v>0.13522650439483641</v>
      </c>
      <c r="E182" s="164">
        <f t="shared" si="30"/>
        <v>0.37275499830566883</v>
      </c>
      <c r="F182" s="167">
        <f t="shared" si="31"/>
        <v>4.4797178130511428</v>
      </c>
      <c r="G182" s="170">
        <f t="shared" si="32"/>
        <v>8.7770840984208842</v>
      </c>
      <c r="H182" s="166">
        <f t="shared" si="24"/>
        <v>1.4206617150573937</v>
      </c>
      <c r="I182" s="60"/>
    </row>
    <row r="183" spans="1:9" s="51" customFormat="1" ht="15" customHeight="1" x14ac:dyDescent="0.2">
      <c r="A183" s="15" t="s">
        <v>262</v>
      </c>
      <c r="B183" s="171">
        <f>'[90]set-14'!$E$9</f>
        <v>2.9630000000000005</v>
      </c>
      <c r="C183" s="163">
        <f t="shared" si="29"/>
        <v>243.45325429896127</v>
      </c>
      <c r="D183" s="164">
        <f t="shared" si="26"/>
        <v>3.3760972316021487E-2</v>
      </c>
      <c r="E183" s="164">
        <f t="shared" si="30"/>
        <v>0.40664181633345287</v>
      </c>
      <c r="F183" s="167">
        <f t="shared" si="31"/>
        <v>4.514991181657857</v>
      </c>
      <c r="G183" s="170">
        <f t="shared" si="32"/>
        <v>8.7339449541284466</v>
      </c>
      <c r="H183" s="166">
        <f t="shared" si="24"/>
        <v>1.4201822477219033</v>
      </c>
      <c r="I183" s="60"/>
    </row>
    <row r="184" spans="1:9" s="51" customFormat="1" ht="15" customHeight="1" x14ac:dyDescent="0.2">
      <c r="A184" s="15" t="s">
        <v>263</v>
      </c>
      <c r="B184" s="171">
        <f>'[90]out-14'!$E$9</f>
        <v>2.9609999999999994</v>
      </c>
      <c r="C184" s="163">
        <f t="shared" si="29"/>
        <v>243.28892540642053</v>
      </c>
      <c r="D184" s="164">
        <f t="shared" si="26"/>
        <v>-6.7499156260586446E-2</v>
      </c>
      <c r="E184" s="164">
        <f t="shared" si="30"/>
        <v>0.33886818027784038</v>
      </c>
      <c r="F184" s="167">
        <f t="shared" si="31"/>
        <v>4.3340380549682367</v>
      </c>
      <c r="G184" s="170">
        <f t="shared" si="32"/>
        <v>8.3821376281112627</v>
      </c>
      <c r="H184" s="166">
        <f t="shared" si="24"/>
        <v>1.4211415062478896</v>
      </c>
      <c r="I184" s="60"/>
    </row>
    <row r="185" spans="1:9" s="51" customFormat="1" ht="15" customHeight="1" x14ac:dyDescent="0.2">
      <c r="A185" s="15" t="s">
        <v>264</v>
      </c>
      <c r="B185" s="171">
        <f>'[90]nov-14'!$E$9</f>
        <v>3.0300000000000002</v>
      </c>
      <c r="C185" s="163">
        <f t="shared" si="29"/>
        <v>248.95827219907272</v>
      </c>
      <c r="D185" s="164">
        <f t="shared" si="26"/>
        <v>2.3302938196555489</v>
      </c>
      <c r="E185" s="164">
        <f t="shared" si="30"/>
        <v>2.6770586241951833</v>
      </c>
      <c r="F185" s="167">
        <f t="shared" si="31"/>
        <v>6.3531063531063525</v>
      </c>
      <c r="G185" s="170">
        <f t="shared" si="32"/>
        <v>10.262008733624439</v>
      </c>
      <c r="H185" s="166">
        <f t="shared" si="24"/>
        <v>1.3887788778877888</v>
      </c>
      <c r="I185" s="60"/>
    </row>
    <row r="186" spans="1:9" s="51" customFormat="1" ht="15" customHeight="1" x14ac:dyDescent="0.2">
      <c r="A186" s="15" t="s">
        <v>265</v>
      </c>
      <c r="B186" s="171">
        <f>'[90]dez-14'!$E$9</f>
        <v>3.0339999999999994</v>
      </c>
      <c r="C186" s="163">
        <f t="shared" si="29"/>
        <v>249.28692998415394</v>
      </c>
      <c r="D186" s="164">
        <f t="shared" si="26"/>
        <v>0.13201320132010252</v>
      </c>
      <c r="E186" s="164">
        <f t="shared" si="30"/>
        <v>2.8126058963063194</v>
      </c>
      <c r="F186" s="167">
        <f t="shared" si="31"/>
        <v>2.8126058963063194</v>
      </c>
      <c r="G186" s="170">
        <f t="shared" si="32"/>
        <v>10.087082728592156</v>
      </c>
      <c r="H186" s="166">
        <f t="shared" si="24"/>
        <v>1.3869479235332898</v>
      </c>
      <c r="I186" s="60"/>
    </row>
    <row r="187" spans="1:9" s="51" customFormat="1" ht="15" customHeight="1" x14ac:dyDescent="0.2">
      <c r="A187" s="15" t="s">
        <v>266</v>
      </c>
      <c r="B187" s="171">
        <f>'[91]jan-15'!$E$9</f>
        <v>3.0379999999999998</v>
      </c>
      <c r="C187" s="163">
        <f t="shared" si="29"/>
        <v>249.61558776923525</v>
      </c>
      <c r="D187" s="164">
        <f t="shared" si="26"/>
        <v>0.13183915622940745</v>
      </c>
      <c r="E187" s="164">
        <f t="shared" ref="E187:E198" si="33">100*(B187/$B$186-1)</f>
        <v>0.13183915622940745</v>
      </c>
      <c r="F187" s="167">
        <f t="shared" si="31"/>
        <v>2.7740189445196073</v>
      </c>
      <c r="G187" s="170">
        <f t="shared" si="32"/>
        <v>9.5959595959596236</v>
      </c>
      <c r="H187" s="166">
        <f t="shared" si="24"/>
        <v>1.3851217906517448</v>
      </c>
      <c r="I187" s="60"/>
    </row>
    <row r="188" spans="1:9" s="51" customFormat="1" ht="15" customHeight="1" x14ac:dyDescent="0.2">
      <c r="A188" s="15" t="s">
        <v>267</v>
      </c>
      <c r="B188" s="171">
        <f>'[91]fev-15'!$E$9</f>
        <v>3.323999999999999</v>
      </c>
      <c r="C188" s="163">
        <f t="shared" si="29"/>
        <v>273.11461940254702</v>
      </c>
      <c r="D188" s="164">
        <f t="shared" si="26"/>
        <v>9.4140882159315034</v>
      </c>
      <c r="E188" s="164">
        <f t="shared" si="33"/>
        <v>9.5583388266315072</v>
      </c>
      <c r="F188" s="167">
        <f t="shared" si="31"/>
        <v>12.373225152129752</v>
      </c>
      <c r="G188" s="170">
        <f t="shared" si="32"/>
        <v>15.057113187954286</v>
      </c>
      <c r="H188" s="166">
        <f t="shared" si="24"/>
        <v>1.2659446450060172</v>
      </c>
      <c r="I188" s="60"/>
    </row>
    <row r="189" spans="1:9" s="51" customFormat="1" ht="15" customHeight="1" x14ac:dyDescent="0.2">
      <c r="A189" s="15" t="s">
        <v>268</v>
      </c>
      <c r="B189" s="171">
        <f>'[91]mar-15'!$E$9</f>
        <v>3.3219999999999996</v>
      </c>
      <c r="C189" s="163">
        <f t="shared" si="29"/>
        <v>272.95029051000643</v>
      </c>
      <c r="D189" s="164">
        <f t="shared" si="26"/>
        <v>-6.0168471720800643E-2</v>
      </c>
      <c r="E189" s="164">
        <f t="shared" si="33"/>
        <v>9.4924192485168248</v>
      </c>
      <c r="F189" s="167">
        <f t="shared" si="31"/>
        <v>11.215266153331104</v>
      </c>
      <c r="G189" s="170">
        <f t="shared" si="32"/>
        <v>15.427380125086842</v>
      </c>
      <c r="H189" s="166">
        <f t="shared" si="24"/>
        <v>1.2667068031306443</v>
      </c>
      <c r="I189" s="60"/>
    </row>
    <row r="190" spans="1:9" s="51" customFormat="1" ht="15" customHeight="1" x14ac:dyDescent="0.2">
      <c r="A190" s="15" t="s">
        <v>286</v>
      </c>
      <c r="B190" s="171">
        <f>'[91]abr-15'!$E$9</f>
        <v>3.3060000000000005</v>
      </c>
      <c r="C190" s="163">
        <f t="shared" si="29"/>
        <v>271.63565936968132</v>
      </c>
      <c r="D190" s="164">
        <f t="shared" si="26"/>
        <v>-0.48163756773025312</v>
      </c>
      <c r="E190" s="164">
        <f t="shared" si="33"/>
        <v>8.9650626235992412</v>
      </c>
      <c r="F190" s="167">
        <f t="shared" si="31"/>
        <v>10.679611650485477</v>
      </c>
      <c r="G190" s="170">
        <f t="shared" si="32"/>
        <v>14.991304347826095</v>
      </c>
      <c r="H190" s="166">
        <f t="shared" si="24"/>
        <v>1.2728372655777374</v>
      </c>
      <c r="I190" s="60"/>
    </row>
    <row r="191" spans="1:9" s="51" customFormat="1" ht="15" customHeight="1" x14ac:dyDescent="0.2">
      <c r="A191" s="15" t="s">
        <v>287</v>
      </c>
      <c r="B191" s="171">
        <f>'[91]mai-15'!$E$9</f>
        <v>3.3030000000000004</v>
      </c>
      <c r="C191" s="163">
        <f t="shared" si="29"/>
        <v>271.38916603087034</v>
      </c>
      <c r="D191" s="164">
        <f t="shared" si="26"/>
        <v>-9.0744101633399854E-2</v>
      </c>
      <c r="E191" s="164">
        <f t="shared" si="33"/>
        <v>8.8661832564271847</v>
      </c>
      <c r="F191" s="167">
        <f t="shared" si="31"/>
        <v>10.690348525469195</v>
      </c>
      <c r="G191" s="170">
        <f t="shared" si="32"/>
        <v>15.772870662460559</v>
      </c>
      <c r="H191" s="166">
        <f t="shared" si="24"/>
        <v>1.2739933393884346</v>
      </c>
      <c r="I191" s="60"/>
    </row>
    <row r="192" spans="1:9" s="51" customFormat="1" ht="15" customHeight="1" x14ac:dyDescent="0.2">
      <c r="A192" s="15" t="s">
        <v>288</v>
      </c>
      <c r="B192" s="171">
        <f>'[91]jun-15'!$E$9</f>
        <v>3.301000000000001</v>
      </c>
      <c r="C192" s="163">
        <f t="shared" si="29"/>
        <v>271.2248371383298</v>
      </c>
      <c r="D192" s="164">
        <f t="shared" si="26"/>
        <v>-6.0551014229470734E-2</v>
      </c>
      <c r="E192" s="164">
        <f t="shared" si="33"/>
        <v>8.8002636783125254</v>
      </c>
      <c r="F192" s="167">
        <f t="shared" si="31"/>
        <v>11.407357408032425</v>
      </c>
      <c r="G192" s="170">
        <f t="shared" si="32"/>
        <v>16.068917018284125</v>
      </c>
      <c r="H192" s="166">
        <f t="shared" si="24"/>
        <v>1.2747652226597996</v>
      </c>
      <c r="I192" s="60"/>
    </row>
    <row r="193" spans="1:9" s="51" customFormat="1" ht="15" customHeight="1" x14ac:dyDescent="0.2">
      <c r="A193" s="15" t="s">
        <v>289</v>
      </c>
      <c r="B193" s="171">
        <f>'[91]jul-15'!$E$9</f>
        <v>3.302</v>
      </c>
      <c r="C193" s="163">
        <f t="shared" si="29"/>
        <v>271.30700158460002</v>
      </c>
      <c r="D193" s="164">
        <f t="shared" si="26"/>
        <v>3.0293850348339646E-2</v>
      </c>
      <c r="E193" s="164">
        <f t="shared" si="33"/>
        <v>8.8332234673698338</v>
      </c>
      <c r="F193" s="167">
        <f t="shared" si="31"/>
        <v>11.629479377958063</v>
      </c>
      <c r="G193" s="170">
        <f t="shared" si="32"/>
        <v>16.26760563380283</v>
      </c>
      <c r="H193" s="166">
        <f t="shared" si="24"/>
        <v>1.2743791641429436</v>
      </c>
      <c r="I193" s="60"/>
    </row>
    <row r="194" spans="1:9" s="51" customFormat="1" ht="15" customHeight="1" x14ac:dyDescent="0.2">
      <c r="A194" s="15" t="s">
        <v>290</v>
      </c>
      <c r="B194" s="171">
        <f>'[91]ago-15'!$E$9</f>
        <v>3.2710000000000004</v>
      </c>
      <c r="C194" s="163">
        <f t="shared" si="29"/>
        <v>268.75990375022008</v>
      </c>
      <c r="D194" s="164">
        <f t="shared" si="26"/>
        <v>-0.93882495457298099</v>
      </c>
      <c r="E194" s="164">
        <f t="shared" si="33"/>
        <v>7.8114700065919918</v>
      </c>
      <c r="F194" s="167">
        <f t="shared" si="31"/>
        <v>10.432140445644844</v>
      </c>
      <c r="G194" s="170">
        <f t="shared" si="32"/>
        <v>15.379188712522041</v>
      </c>
      <c r="H194" s="166">
        <f t="shared" si="24"/>
        <v>1.2864567410577805</v>
      </c>
      <c r="I194" s="60"/>
    </row>
    <row r="195" spans="1:9" s="51" customFormat="1" ht="15" customHeight="1" x14ac:dyDescent="0.2">
      <c r="A195" s="15" t="s">
        <v>291</v>
      </c>
      <c r="B195" s="171">
        <f>'[91]set-15'!$E$9</f>
        <v>3.2740000000000005</v>
      </c>
      <c r="C195" s="163">
        <f t="shared" si="29"/>
        <v>269.00639708903105</v>
      </c>
      <c r="D195" s="164">
        <f t="shared" si="26"/>
        <v>9.1715071843467832E-2</v>
      </c>
      <c r="E195" s="164">
        <f t="shared" si="33"/>
        <v>7.9103493737640473</v>
      </c>
      <c r="F195" s="167">
        <f t="shared" si="31"/>
        <v>10.49611879851502</v>
      </c>
      <c r="G195" s="170">
        <f t="shared" si="32"/>
        <v>15.485008818342161</v>
      </c>
      <c r="H195" s="166">
        <f t="shared" si="24"/>
        <v>1.2852779474648746</v>
      </c>
      <c r="I195" s="60"/>
    </row>
    <row r="196" spans="1:9" s="51" customFormat="1" ht="15" customHeight="1" x14ac:dyDescent="0.2">
      <c r="A196" s="15" t="s">
        <v>292</v>
      </c>
      <c r="B196" s="171">
        <f>'[91]out-15'!$E$9</f>
        <v>3.4929999999999994</v>
      </c>
      <c r="C196" s="163">
        <f t="shared" si="29"/>
        <v>287.00041082223129</v>
      </c>
      <c r="D196" s="164">
        <f t="shared" si="26"/>
        <v>6.6890653634697372</v>
      </c>
      <c r="E196" s="164">
        <f t="shared" si="33"/>
        <v>15.12854317732366</v>
      </c>
      <c r="F196" s="167">
        <f t="shared" si="31"/>
        <v>17.966903073286055</v>
      </c>
      <c r="G196" s="170">
        <f t="shared" si="32"/>
        <v>23.079633544749779</v>
      </c>
      <c r="H196" s="166">
        <f t="shared" si="24"/>
        <v>1.2046951044947039</v>
      </c>
      <c r="I196" s="60"/>
    </row>
    <row r="197" spans="1:9" s="51" customFormat="1" ht="15" customHeight="1" x14ac:dyDescent="0.2">
      <c r="A197" s="15" t="s">
        <v>293</v>
      </c>
      <c r="B197" s="171">
        <f>'[91]nov-15'!$E$9</f>
        <v>3.605</v>
      </c>
      <c r="C197" s="163">
        <f t="shared" si="29"/>
        <v>296.20282880450731</v>
      </c>
      <c r="D197" s="164">
        <f t="shared" si="26"/>
        <v>3.206412825651328</v>
      </c>
      <c r="E197" s="164">
        <f t="shared" si="33"/>
        <v>18.820039551746891</v>
      </c>
      <c r="F197" s="167">
        <f t="shared" si="31"/>
        <v>18.976897689768958</v>
      </c>
      <c r="G197" s="170">
        <f t="shared" si="32"/>
        <v>26.535626535626534</v>
      </c>
      <c r="H197" s="166">
        <f t="shared" si="24"/>
        <v>1.1672676837725382</v>
      </c>
      <c r="I197" s="60"/>
    </row>
    <row r="198" spans="1:9" s="51" customFormat="1" ht="15" customHeight="1" x14ac:dyDescent="0.2">
      <c r="A198" s="15" t="s">
        <v>294</v>
      </c>
      <c r="B198" s="171">
        <f>'[91]dez-15'!$E$9</f>
        <v>3.6359999999999997</v>
      </c>
      <c r="C198" s="163">
        <f t="shared" si="29"/>
        <v>298.74992663888725</v>
      </c>
      <c r="D198" s="164">
        <f t="shared" si="26"/>
        <v>0.85991678224686119</v>
      </c>
      <c r="E198" s="164">
        <f t="shared" si="33"/>
        <v>19.841793012524732</v>
      </c>
      <c r="F198" s="167">
        <f t="shared" si="31"/>
        <v>19.841793012524732</v>
      </c>
      <c r="G198" s="170">
        <f t="shared" si="32"/>
        <v>23.21247034903422</v>
      </c>
      <c r="H198" s="166">
        <f t="shared" si="24"/>
        <v>1.1573157315731575</v>
      </c>
      <c r="I198" s="60"/>
    </row>
    <row r="199" spans="1:9" s="51" customFormat="1" ht="15" customHeight="1" x14ac:dyDescent="0.2">
      <c r="A199" s="15" t="s">
        <v>295</v>
      </c>
      <c r="B199" s="171">
        <f>'[92]jan-16'!$E$9</f>
        <v>3.6939999999999995</v>
      </c>
      <c r="C199" s="163">
        <f t="shared" si="29"/>
        <v>303.51546452256588</v>
      </c>
      <c r="D199" s="164">
        <f t="shared" si="26"/>
        <v>1.5951595159515941</v>
      </c>
      <c r="E199" s="164">
        <f>100*(B199/$B$198-1)</f>
        <v>1.5951595159515941</v>
      </c>
      <c r="F199" s="167">
        <f t="shared" si="31"/>
        <v>21.593153390388409</v>
      </c>
      <c r="G199" s="170">
        <f t="shared" si="32"/>
        <v>24.966170500676576</v>
      </c>
      <c r="H199" s="166">
        <f t="shared" si="24"/>
        <v>1.1391445587439093</v>
      </c>
      <c r="I199" s="60"/>
    </row>
    <row r="200" spans="1:9" s="51" customFormat="1" ht="15" customHeight="1" x14ac:dyDescent="0.2">
      <c r="A200" s="15" t="s">
        <v>297</v>
      </c>
      <c r="B200" s="171">
        <f>'[92]fev-16'!$E$9</f>
        <v>3.7190000000000003</v>
      </c>
      <c r="C200" s="163">
        <f t="shared" si="29"/>
        <v>305.56957567932392</v>
      </c>
      <c r="D200" s="164">
        <f t="shared" si="26"/>
        <v>0.67677314564160707</v>
      </c>
      <c r="E200" s="164">
        <f>100*(B200/$B$198-1)</f>
        <v>2.2827282728272946</v>
      </c>
      <c r="F200" s="167">
        <f t="shared" si="31"/>
        <v>11.883273164861663</v>
      </c>
      <c r="G200" s="170">
        <f t="shared" si="32"/>
        <v>25.726842461122356</v>
      </c>
      <c r="H200" s="166">
        <f t="shared" si="24"/>
        <v>1.1314869588599086</v>
      </c>
      <c r="I200" s="60"/>
    </row>
    <row r="201" spans="1:9" s="51" customFormat="1" ht="15" customHeight="1" x14ac:dyDescent="0.2">
      <c r="A201" s="15" t="str">
        <f>+ARLA_32!A56</f>
        <v>MARÇO|16</v>
      </c>
      <c r="B201" s="171">
        <f>'[92]mar-16'!$E$9</f>
        <v>3.7280000000000006</v>
      </c>
      <c r="C201" s="163">
        <f>100*B201/B$7</f>
        <v>306.30905569575685</v>
      </c>
      <c r="D201" s="164">
        <f>100*(B201/B200-1)</f>
        <v>0.24200053777898578</v>
      </c>
      <c r="E201" s="164">
        <f>100*(B201/$B$198-1)</f>
        <v>2.5302530253025646</v>
      </c>
      <c r="F201" s="167">
        <f>(100*(B201/B189-1))</f>
        <v>12.221553281155973</v>
      </c>
      <c r="G201" s="170">
        <f>100*(B201/B177-1)</f>
        <v>24.807499163039882</v>
      </c>
      <c r="H201" s="166">
        <f t="shared" ref="H201:H226" si="34">+B$226/B201</f>
        <v>1.1287553648068669</v>
      </c>
      <c r="I201" s="60"/>
    </row>
    <row r="202" spans="1:9" s="51" customFormat="1" ht="15" customHeight="1" x14ac:dyDescent="0.2">
      <c r="A202" s="15" t="str">
        <f>+ARLA_32!A57</f>
        <v>ABRIL|16</v>
      </c>
      <c r="B202" s="171">
        <f>'[92]abr-16'!$E$9</f>
        <v>3.7040000000000002</v>
      </c>
      <c r="C202" s="163">
        <f>100*B202/B$7</f>
        <v>304.33710898526914</v>
      </c>
      <c r="D202" s="164">
        <f>100*(B202/B201-1)</f>
        <v>-0.64377682403434777</v>
      </c>
      <c r="E202" s="164">
        <f>100*(B202/$B$198-1)</f>
        <v>1.8701870187018743</v>
      </c>
      <c r="F202" s="167">
        <f>(100*(B202/B190-1))</f>
        <v>12.038717483363559</v>
      </c>
      <c r="G202" s="170">
        <f>100*(B202/B178-1)</f>
        <v>24.004017408771361</v>
      </c>
      <c r="H202" s="166">
        <f t="shared" si="34"/>
        <v>1.1360691144708424</v>
      </c>
      <c r="I202" s="60"/>
    </row>
    <row r="203" spans="1:9" s="51" customFormat="1" ht="15" customHeight="1" x14ac:dyDescent="0.2">
      <c r="A203" s="15" t="str">
        <f>+ARLA_32!A58</f>
        <v>MAIO|16</v>
      </c>
      <c r="B203" s="171">
        <f>'[92]mai-16'!$E$9</f>
        <v>3.6659999999999999</v>
      </c>
      <c r="C203" s="163">
        <f t="shared" ref="C203:C211" si="35">100*B203/B$7</f>
        <v>301.21486002699686</v>
      </c>
      <c r="D203" s="164">
        <f t="shared" ref="D203:D210" si="36">100*(B203/B202-1)</f>
        <v>-1.025917926565878</v>
      </c>
      <c r="E203" s="164">
        <f t="shared" ref="E203:E210" si="37">100*(B203/$B$198-1)</f>
        <v>0.82508250825084062</v>
      </c>
      <c r="F203" s="167">
        <f t="shared" ref="F203:F210" si="38">(100*(B203/B191-1))</f>
        <v>10.990009082652129</v>
      </c>
      <c r="G203" s="170">
        <f t="shared" ref="G203:G210" si="39">100*(B203/B179-1)</f>
        <v>22.855227882037553</v>
      </c>
      <c r="H203" s="166">
        <f t="shared" si="34"/>
        <v>1.1478450627386798</v>
      </c>
      <c r="I203" s="60"/>
    </row>
    <row r="204" spans="1:9" s="51" customFormat="1" ht="15" customHeight="1" x14ac:dyDescent="0.2">
      <c r="A204" s="15" t="str">
        <f>+ARLA_32!A59</f>
        <v>JUNHO|16</v>
      </c>
      <c r="B204" s="171">
        <f>'[92]jun-16'!$E$9</f>
        <v>3.6409999999999991</v>
      </c>
      <c r="C204" s="163">
        <f t="shared" si="35"/>
        <v>299.16074887023876</v>
      </c>
      <c r="D204" s="164">
        <f t="shared" si="36"/>
        <v>-0.68194217130389534</v>
      </c>
      <c r="E204" s="164">
        <f t="shared" si="37"/>
        <v>0.1375137513751179</v>
      </c>
      <c r="F204" s="167">
        <f t="shared" si="38"/>
        <v>10.299909118448891</v>
      </c>
      <c r="G204" s="170">
        <f t="shared" si="39"/>
        <v>22.882213972325303</v>
      </c>
      <c r="H204" s="166">
        <f t="shared" si="34"/>
        <v>1.1557264487778087</v>
      </c>
      <c r="I204" s="60"/>
    </row>
    <row r="205" spans="1:9" s="51" customFormat="1" ht="15" customHeight="1" x14ac:dyDescent="0.2">
      <c r="A205" s="15" t="str">
        <f>+ARLA_32!A60</f>
        <v>JULHO|16</v>
      </c>
      <c r="B205" s="171">
        <f>'[92]jul-16'!$E$9</f>
        <v>3.6499999999999995</v>
      </c>
      <c r="C205" s="163">
        <f t="shared" si="35"/>
        <v>299.9002288866717</v>
      </c>
      <c r="D205" s="164">
        <f t="shared" si="36"/>
        <v>0.24718483932986146</v>
      </c>
      <c r="E205" s="164">
        <f t="shared" si="37"/>
        <v>0.38503850385038785</v>
      </c>
      <c r="F205" s="167">
        <f t="shared" si="38"/>
        <v>10.539067231980592</v>
      </c>
      <c r="G205" s="170">
        <f t="shared" si="39"/>
        <v>23.394185260310984</v>
      </c>
      <c r="H205" s="166">
        <f t="shared" si="34"/>
        <v>1.1528767123287673</v>
      </c>
      <c r="I205" s="60"/>
    </row>
    <row r="206" spans="1:9" s="51" customFormat="1" ht="15" customHeight="1" x14ac:dyDescent="0.2">
      <c r="A206" s="15" t="str">
        <f>+ARLA_32!A61</f>
        <v>AGOSTO|16</v>
      </c>
      <c r="B206" s="171">
        <f>'[92]ago-16'!$E$9</f>
        <v>3.6439999999999992</v>
      </c>
      <c r="C206" s="163">
        <f t="shared" si="35"/>
        <v>299.40724220904974</v>
      </c>
      <c r="D206" s="164">
        <f t="shared" si="36"/>
        <v>-0.16438356164384382</v>
      </c>
      <c r="E206" s="164">
        <f t="shared" si="37"/>
        <v>0.22002200220021528</v>
      </c>
      <c r="F206" s="167">
        <f t="shared" si="38"/>
        <v>11.4032405992051</v>
      </c>
      <c r="G206" s="170">
        <f t="shared" si="39"/>
        <v>23.024983119513799</v>
      </c>
      <c r="H206" s="166">
        <f t="shared" si="34"/>
        <v>1.1547749725576293</v>
      </c>
      <c r="I206" s="60"/>
    </row>
    <row r="207" spans="1:9" s="51" customFormat="1" ht="15" customHeight="1" x14ac:dyDescent="0.2">
      <c r="A207" s="15" t="str">
        <f>+ARLA_32!A62</f>
        <v>SETEMBRO|16</v>
      </c>
      <c r="B207" s="171">
        <f>'[92]set-16'!$E$9</f>
        <v>3.6499999999999995</v>
      </c>
      <c r="C207" s="163">
        <f t="shared" si="35"/>
        <v>299.9002288866717</v>
      </c>
      <c r="D207" s="164">
        <f t="shared" si="36"/>
        <v>0.16465422612514935</v>
      </c>
      <c r="E207" s="164">
        <f t="shared" si="37"/>
        <v>0.38503850385038785</v>
      </c>
      <c r="F207" s="167">
        <f t="shared" si="38"/>
        <v>11.484422724495991</v>
      </c>
      <c r="G207" s="170">
        <f t="shared" si="39"/>
        <v>23.185960175497765</v>
      </c>
      <c r="H207" s="166">
        <f t="shared" si="34"/>
        <v>1.1528767123287673</v>
      </c>
      <c r="I207" s="60"/>
    </row>
    <row r="208" spans="1:9" s="51" customFormat="1" ht="15" customHeight="1" x14ac:dyDescent="0.2">
      <c r="A208" s="15" t="str">
        <f>+ARLA_32!A63</f>
        <v>OUTUBRO|16</v>
      </c>
      <c r="B208" s="171">
        <f>'[92]out-16'!$E$9</f>
        <v>3.669</v>
      </c>
      <c r="C208" s="163">
        <f t="shared" si="35"/>
        <v>301.46135336580784</v>
      </c>
      <c r="D208" s="164">
        <f t="shared" si="36"/>
        <v>0.52054794520548509</v>
      </c>
      <c r="E208" s="164">
        <f t="shared" si="37"/>
        <v>0.9075907590759158</v>
      </c>
      <c r="F208" s="167">
        <f t="shared" si="38"/>
        <v>5.0386487260234869</v>
      </c>
      <c r="G208" s="170">
        <f t="shared" si="39"/>
        <v>23.910840932117551</v>
      </c>
      <c r="H208" s="166">
        <f t="shared" si="34"/>
        <v>1.1469065140365222</v>
      </c>
      <c r="I208" s="60"/>
    </row>
    <row r="209" spans="1:9" s="51" customFormat="1" ht="15" customHeight="1" x14ac:dyDescent="0.2">
      <c r="A209" s="15" t="str">
        <f>+ARLA_32!A64</f>
        <v>NOVEMBRO|16</v>
      </c>
      <c r="B209" s="171">
        <f>'[92]nov-16'!$E$9</f>
        <v>3.6649999999999996</v>
      </c>
      <c r="C209" s="163">
        <f t="shared" si="35"/>
        <v>301.13269558072653</v>
      </c>
      <c r="D209" s="164">
        <f t="shared" si="36"/>
        <v>-0.10902153175252893</v>
      </c>
      <c r="E209" s="164">
        <f t="shared" si="37"/>
        <v>0.79757975797578595</v>
      </c>
      <c r="F209" s="167">
        <f t="shared" si="38"/>
        <v>1.6643550624133141</v>
      </c>
      <c r="G209" s="170">
        <f t="shared" si="39"/>
        <v>20.95709570957094</v>
      </c>
      <c r="H209" s="166">
        <f t="shared" si="34"/>
        <v>1.1481582537517054</v>
      </c>
      <c r="I209" s="60"/>
    </row>
    <row r="210" spans="1:9" s="51" customFormat="1" ht="15" customHeight="1" x14ac:dyDescent="0.2">
      <c r="A210" s="15" t="str">
        <f>+ARLA_32!A65</f>
        <v>DEZEMBRO|16</v>
      </c>
      <c r="B210" s="171">
        <f>'[92]dez-16'!$E$9</f>
        <v>3.7549999999999994</v>
      </c>
      <c r="C210" s="163">
        <f t="shared" si="35"/>
        <v>308.52749574505543</v>
      </c>
      <c r="D210" s="164">
        <f t="shared" si="36"/>
        <v>2.4556616643929052</v>
      </c>
      <c r="E210" s="164">
        <f t="shared" si="37"/>
        <v>3.2728272827282634</v>
      </c>
      <c r="F210" s="167">
        <f t="shared" si="38"/>
        <v>3.2728272827282634</v>
      </c>
      <c r="G210" s="170">
        <f t="shared" si="39"/>
        <v>23.764007910349385</v>
      </c>
      <c r="H210" s="166">
        <f t="shared" si="34"/>
        <v>1.1206391478029296</v>
      </c>
      <c r="I210" s="60"/>
    </row>
    <row r="211" spans="1:9" s="51" customFormat="1" ht="15" customHeight="1" x14ac:dyDescent="0.2">
      <c r="A211" s="15" t="str">
        <f>+ARLA_32!A66</f>
        <v>JANEIRO|17</v>
      </c>
      <c r="B211" s="171">
        <f>'[70]jan-17'!$E$9</f>
        <v>3.7650000000000001</v>
      </c>
      <c r="C211" s="163">
        <f t="shared" si="35"/>
        <v>309.34914020775869</v>
      </c>
      <c r="D211" s="164">
        <f t="shared" ref="D211" si="40">100*(B211/B210-1)</f>
        <v>0.26631158455394655</v>
      </c>
      <c r="E211" s="164">
        <f>100*(B211/$B$210-1)</f>
        <v>0.26631158455394655</v>
      </c>
      <c r="F211" s="167">
        <f t="shared" ref="F211" si="41">(100*(B211/B199-1))</f>
        <v>1.9220357336221072</v>
      </c>
      <c r="G211" s="170">
        <f t="shared" ref="G211" si="42">100*(B211/B187-1)</f>
        <v>23.930217248189599</v>
      </c>
      <c r="H211" s="166">
        <f t="shared" si="34"/>
        <v>1.1176626826029217</v>
      </c>
      <c r="I211" s="60"/>
    </row>
    <row r="212" spans="1:9" s="51" customFormat="1" ht="15" customHeight="1" x14ac:dyDescent="0.2">
      <c r="A212" s="15" t="str">
        <f>+ARLA_32!A67</f>
        <v>FEVEREIRO|17</v>
      </c>
      <c r="B212" s="171">
        <f>'[70]fev-17'!$E$9</f>
        <v>3.7489999999999997</v>
      </c>
      <c r="C212" s="163">
        <f t="shared" ref="C212" si="43">100*B212/B$7</f>
        <v>308.03450906743353</v>
      </c>
      <c r="D212" s="164">
        <f t="shared" ref="D212" si="44">100*(B212/B211-1)</f>
        <v>-0.42496679946880667</v>
      </c>
      <c r="E212" s="164">
        <f>100*(B212/$B$210-1)</f>
        <v>-0.1597869507323546</v>
      </c>
      <c r="F212" s="167">
        <f t="shared" ref="F212" si="45">(100*(B212/B200-1))</f>
        <v>0.80666845926322672</v>
      </c>
      <c r="G212" s="170">
        <f t="shared" ref="G212" si="46">100*(B212/B188-1)</f>
        <v>12.785800240673906</v>
      </c>
      <c r="H212" s="166">
        <f t="shared" si="34"/>
        <v>1.1224326487063219</v>
      </c>
      <c r="I212" s="60"/>
    </row>
    <row r="213" spans="1:9" s="51" customFormat="1" ht="15" customHeight="1" x14ac:dyDescent="0.2">
      <c r="A213" s="15" t="str">
        <f>+ARLA_32!A68</f>
        <v>MARÇO|17</v>
      </c>
      <c r="B213" s="171">
        <f>'[70]mar-17'!$E$9</f>
        <v>3.6679999999999997</v>
      </c>
      <c r="C213" s="163">
        <f t="shared" ref="C213:C214" si="47">100*B213/B$7</f>
        <v>301.37918891953751</v>
      </c>
      <c r="D213" s="164">
        <f t="shared" ref="D213:D214" si="48">100*(B213/B212-1)</f>
        <v>-2.1605761536409696</v>
      </c>
      <c r="E213" s="164">
        <f t="shared" ref="E213:E214" si="49">100*(B213/$B$210-1)</f>
        <v>-2.316910785619164</v>
      </c>
      <c r="F213" s="167">
        <f t="shared" ref="F213:F214" si="50">(100*(B213/B201-1))</f>
        <v>-1.6094420600858639</v>
      </c>
      <c r="G213" s="170">
        <f t="shared" ref="G213:G214" si="51">100*(B213/B189-1)</f>
        <v>10.415412402167368</v>
      </c>
      <c r="H213" s="166">
        <f t="shared" si="34"/>
        <v>1.1472191930207198</v>
      </c>
      <c r="I213" s="60"/>
    </row>
    <row r="214" spans="1:9" s="51" customFormat="1" ht="15" customHeight="1" x14ac:dyDescent="0.2">
      <c r="A214" s="15" t="str">
        <f>+ARLA_32!A69</f>
        <v>ABRIL|17</v>
      </c>
      <c r="B214" s="171">
        <f>'[70]abr-17'!$E$9</f>
        <v>3.6260000000000003</v>
      </c>
      <c r="C214" s="163">
        <f t="shared" si="47"/>
        <v>297.92828217618404</v>
      </c>
      <c r="D214" s="164">
        <f t="shared" si="48"/>
        <v>-1.1450381679389166</v>
      </c>
      <c r="E214" s="164">
        <f t="shared" si="49"/>
        <v>-3.4354194407456462</v>
      </c>
      <c r="F214" s="167">
        <f t="shared" si="50"/>
        <v>-2.1058315334773203</v>
      </c>
      <c r="G214" s="170">
        <f t="shared" si="51"/>
        <v>9.6793708408953414</v>
      </c>
      <c r="H214" s="166">
        <f t="shared" si="34"/>
        <v>1.160507446221732</v>
      </c>
      <c r="I214" s="60"/>
    </row>
    <row r="215" spans="1:9" s="51" customFormat="1" ht="15" customHeight="1" x14ac:dyDescent="0.2">
      <c r="A215" s="15" t="str">
        <f>+ARLA_32!A70</f>
        <v>MAIO|17</v>
      </c>
      <c r="B215" s="171">
        <f>'[70]mai-17'!$E$9</f>
        <v>3.6060000000000008</v>
      </c>
      <c r="C215" s="163">
        <f t="shared" ref="C215:C216" si="52">100*B215/B$7</f>
        <v>296.28499325077769</v>
      </c>
      <c r="D215" s="164">
        <f t="shared" ref="D215:D216" si="53">100*(B215/B214-1)</f>
        <v>-0.55157198014339492</v>
      </c>
      <c r="E215" s="164">
        <f t="shared" ref="E215:E216" si="54">100*(B215/$B$210-1)</f>
        <v>-3.9680426098534949</v>
      </c>
      <c r="F215" s="167">
        <f t="shared" ref="F215:F216" si="55">(100*(B215/B203-1))</f>
        <v>-1.6366612111292755</v>
      </c>
      <c r="G215" s="170">
        <f t="shared" ref="G215:G216" si="56">100*(B215/B191-1)</f>
        <v>9.1734786557674965</v>
      </c>
      <c r="H215" s="166">
        <f t="shared" si="34"/>
        <v>1.1669439822518024</v>
      </c>
      <c r="I215" s="60"/>
    </row>
    <row r="216" spans="1:9" s="51" customFormat="1" ht="15" customHeight="1" x14ac:dyDescent="0.2">
      <c r="A216" s="15" t="str">
        <f>+ARLA_32!A71</f>
        <v>JUNHO|17</v>
      </c>
      <c r="B216" s="171">
        <f>'[70]jun-17'!$E$9</f>
        <v>3.5099999999999989</v>
      </c>
      <c r="C216" s="163">
        <f t="shared" si="52"/>
        <v>288.39720640882672</v>
      </c>
      <c r="D216" s="164">
        <f t="shared" si="53"/>
        <v>-2.6622296173045457</v>
      </c>
      <c r="E216" s="164">
        <f t="shared" si="54"/>
        <v>-6.5246338215712569</v>
      </c>
      <c r="F216" s="167">
        <f t="shared" si="55"/>
        <v>-3.5979126613567725</v>
      </c>
      <c r="G216" s="170">
        <f t="shared" si="56"/>
        <v>6.3314147228112017</v>
      </c>
      <c r="H216" s="166">
        <f t="shared" si="34"/>
        <v>1.1988603988603992</v>
      </c>
      <c r="I216" s="60"/>
    </row>
    <row r="217" spans="1:9" s="51" customFormat="1" ht="15" customHeight="1" x14ac:dyDescent="0.2">
      <c r="A217" s="15" t="str">
        <f>+ARLA_32!A72</f>
        <v>JULHO|17</v>
      </c>
      <c r="B217" s="171">
        <f>'[70]jul-17'!$E$9</f>
        <v>3.7489999999999997</v>
      </c>
      <c r="C217" s="163">
        <f t="shared" ref="C217" si="57">100*B217/B$7</f>
        <v>308.03450906743353</v>
      </c>
      <c r="D217" s="164">
        <f t="shared" ref="D217" si="58">100*(B217/B216-1)</f>
        <v>6.8091168091168441</v>
      </c>
      <c r="E217" s="164">
        <f t="shared" ref="E217" si="59">100*(B217/$B$210-1)</f>
        <v>-0.1597869507323546</v>
      </c>
      <c r="F217" s="167">
        <f t="shared" ref="F217" si="60">(100*(B217/B205-1))</f>
        <v>2.7123287671232843</v>
      </c>
      <c r="G217" s="170">
        <f t="shared" ref="G217" si="61">100*(B217/B193-1)</f>
        <v>13.537250151423375</v>
      </c>
      <c r="H217" s="166">
        <f t="shared" si="34"/>
        <v>1.1224326487063219</v>
      </c>
      <c r="I217" s="60"/>
    </row>
    <row r="218" spans="1:9" s="51" customFormat="1" ht="15" customHeight="1" x14ac:dyDescent="0.2">
      <c r="A218" s="15" t="str">
        <f>+ARLA_32!A73</f>
        <v>AGOSTO|17</v>
      </c>
      <c r="B218" s="171">
        <f>'[70]ago-17'!$E$9</f>
        <v>3.7730000000000001</v>
      </c>
      <c r="C218" s="163">
        <f t="shared" ref="C218" si="62">100*B218/B$7</f>
        <v>310.00645577792125</v>
      </c>
      <c r="D218" s="164">
        <f t="shared" ref="D218" si="63">100*(B218/B217-1)</f>
        <v>0.64017071218993582</v>
      </c>
      <c r="E218" s="164">
        <f t="shared" ref="E218" si="64">100*(B218/$B$210-1)</f>
        <v>0.47936085219708602</v>
      </c>
      <c r="F218" s="167">
        <f t="shared" ref="F218" si="65">(100*(B218/B206-1))</f>
        <v>3.5400658616904668</v>
      </c>
      <c r="G218" s="170">
        <f t="shared" ref="G218" si="66">100*(B218/B194-1)</f>
        <v>15.346988688474461</v>
      </c>
      <c r="H218" s="166">
        <f t="shared" si="34"/>
        <v>1.1152928703949112</v>
      </c>
      <c r="I218" s="60"/>
    </row>
    <row r="219" spans="1:9" s="51" customFormat="1" ht="15" customHeight="1" x14ac:dyDescent="0.2">
      <c r="A219" s="15" t="str">
        <f>+ARLA_32!A74</f>
        <v>SETEMBRO|17</v>
      </c>
      <c r="B219" s="171">
        <f>'[70]set-17'!$E$9</f>
        <v>3.8839999999999999</v>
      </c>
      <c r="C219" s="163">
        <f t="shared" ref="C219" si="67">100*B219/B$7</f>
        <v>319.12670931392682</v>
      </c>
      <c r="D219" s="164">
        <f t="shared" ref="D219" si="68">100*(B219/B218-1)</f>
        <v>2.9419560031804792</v>
      </c>
      <c r="E219" s="164">
        <f t="shared" ref="E219" si="69">100*(B219/$B$210-1)</f>
        <v>3.4354194407456795</v>
      </c>
      <c r="F219" s="167">
        <f t="shared" ref="F219" si="70">(100*(B219/B207-1))</f>
        <v>6.4109589041096093</v>
      </c>
      <c r="G219" s="170">
        <f t="shared" ref="G219" si="71">100*(B219/B195-1)</f>
        <v>18.631643249847251</v>
      </c>
      <c r="H219" s="166">
        <f t="shared" si="34"/>
        <v>1.0834191555097838</v>
      </c>
      <c r="I219" s="60"/>
    </row>
    <row r="220" spans="1:9" s="51" customFormat="1" ht="15" customHeight="1" x14ac:dyDescent="0.2">
      <c r="A220" s="15" t="str">
        <f>+ARLA_32!A75</f>
        <v>OUTUBRO|17</v>
      </c>
      <c r="B220" s="171">
        <f>'[70]out-17'!$E$9</f>
        <v>3.8780000000000001</v>
      </c>
      <c r="C220" s="163">
        <f t="shared" ref="C220" si="72">100*B220/B$7</f>
        <v>318.63372263630498</v>
      </c>
      <c r="D220" s="164">
        <f t="shared" ref="D220" si="73">100*(B220/B219-1)</f>
        <v>-0.1544799176107059</v>
      </c>
      <c r="E220" s="164">
        <f t="shared" ref="E220" si="74">100*(B220/$B$210-1)</f>
        <v>3.2756324900133249</v>
      </c>
      <c r="F220" s="167">
        <f t="shared" ref="F220" si="75">(100*(B220/B208-1))</f>
        <v>5.6963750340692343</v>
      </c>
      <c r="G220" s="170">
        <f t="shared" ref="G220" si="76">100*(B220/B196-1)</f>
        <v>11.022044088176376</v>
      </c>
      <c r="H220" s="166">
        <f t="shared" si="34"/>
        <v>1.0850954100051573</v>
      </c>
      <c r="I220" s="60"/>
    </row>
    <row r="221" spans="1:9" s="51" customFormat="1" ht="15" customHeight="1" x14ac:dyDescent="0.2">
      <c r="A221" s="15" t="str">
        <f>+ARLA_32!A76</f>
        <v>NOVEMBRO|17</v>
      </c>
      <c r="B221" s="171">
        <f>'[70]nov-17'!$E$9</f>
        <v>4.0229999999999997</v>
      </c>
      <c r="C221" s="163">
        <f t="shared" ref="C221" si="77">100*B221/B$7</f>
        <v>330.54756734550148</v>
      </c>
      <c r="D221" s="164">
        <f t="shared" ref="D221" si="78">100*(B221/B220-1)</f>
        <v>3.7390407426508343</v>
      </c>
      <c r="E221" s="164">
        <f t="shared" ref="E221" si="79">100*(B221/$B$210-1)</f>
        <v>7.1371504660452834</v>
      </c>
      <c r="F221" s="167">
        <f t="shared" ref="F221" si="80">(100*(B221/B209-1))</f>
        <v>9.7680763983629006</v>
      </c>
      <c r="G221" s="170">
        <f t="shared" ref="G221" si="81">100*(B221/B197-1)</f>
        <v>11.595006934812746</v>
      </c>
      <c r="H221" s="166">
        <f t="shared" si="34"/>
        <v>1.0459855828983347</v>
      </c>
      <c r="I221" s="60"/>
    </row>
    <row r="222" spans="1:9" s="51" customFormat="1" ht="15" customHeight="1" x14ac:dyDescent="0.2">
      <c r="A222" s="15" t="str">
        <f>+ARLA_32!A77</f>
        <v>DEZEMBRO|17</v>
      </c>
      <c r="B222" s="171">
        <f>'[70]dez-17'!$E$9</f>
        <v>4.0990000000000002</v>
      </c>
      <c r="C222" s="163">
        <f t="shared" ref="C222:C223" si="82">100*B222/B$7</f>
        <v>336.79206526204592</v>
      </c>
      <c r="D222" s="164">
        <f t="shared" ref="D222:D223" si="83">100*(B222/B221-1)</f>
        <v>1.8891374596072819</v>
      </c>
      <c r="E222" s="164">
        <f t="shared" ref="E222:E223" si="84">100*(B222/$B$210-1)</f>
        <v>9.1611185086551536</v>
      </c>
      <c r="F222" s="167">
        <f t="shared" ref="F222:F223" si="85">(100*(B222/B210-1))</f>
        <v>9.1611185086551536</v>
      </c>
      <c r="G222" s="170">
        <f t="shared" ref="G222:G223" si="86">100*(B222/B198-1)</f>
        <v>12.733773377337743</v>
      </c>
      <c r="H222" s="166">
        <f t="shared" si="34"/>
        <v>1.0265918516711392</v>
      </c>
      <c r="I222" s="60"/>
    </row>
    <row r="223" spans="1:9" s="51" customFormat="1" ht="15" customHeight="1" x14ac:dyDescent="0.2">
      <c r="A223" s="15" t="str">
        <f>+ARLA_32!A78</f>
        <v>JANEIRO|18</v>
      </c>
      <c r="B223" s="171">
        <f>'[71]jan-18'!$E$9</f>
        <v>4.1980000000000004</v>
      </c>
      <c r="C223" s="163">
        <f t="shared" si="82"/>
        <v>344.92634544280776</v>
      </c>
      <c r="D223" s="164">
        <f t="shared" si="83"/>
        <v>2.4152232251768879</v>
      </c>
      <c r="E223" s="164">
        <f t="shared" si="84"/>
        <v>11.797603195739036</v>
      </c>
      <c r="F223" s="167">
        <f t="shared" si="85"/>
        <v>11.500664010624174</v>
      </c>
      <c r="G223" s="170">
        <f t="shared" si="86"/>
        <v>13.643746616134301</v>
      </c>
      <c r="H223" s="166">
        <f t="shared" si="34"/>
        <v>1.002382086707956</v>
      </c>
      <c r="I223" s="60"/>
    </row>
    <row r="224" spans="1:9" s="51" customFormat="1" ht="15" customHeight="1" x14ac:dyDescent="0.2">
      <c r="A224" s="15" t="str">
        <f>+ARLA_32!A79</f>
        <v>FEVEREIRO|18</v>
      </c>
      <c r="B224" s="171">
        <f>'[71]fev-18'!$E$9</f>
        <v>4.2089999999999996</v>
      </c>
      <c r="C224" s="163">
        <f t="shared" ref="C224:C225" si="87">100*B224/B$7</f>
        <v>345.83015435178118</v>
      </c>
      <c r="D224" s="164">
        <f t="shared" ref="D224:D225" si="88">100*(B224/B223-1)</f>
        <v>0.26202953787515249</v>
      </c>
      <c r="E224" s="164">
        <f t="shared" ref="E224:E225" si="89">100*(B224/$B$210-1)</f>
        <v>12.090545938748342</v>
      </c>
      <c r="F224" s="167">
        <f t="shared" ref="F224:F225" si="90">(100*(B224/B212-1))</f>
        <v>12.269938650306745</v>
      </c>
      <c r="G224" s="170">
        <f t="shared" ref="G224:G225" si="91">100*(B224/B200-1)</f>
        <v>13.175584834632946</v>
      </c>
      <c r="H224" s="166">
        <f t="shared" si="34"/>
        <v>0.99976241387502984</v>
      </c>
      <c r="I224" s="60"/>
    </row>
    <row r="225" spans="1:12" s="51" customFormat="1" ht="15" customHeight="1" x14ac:dyDescent="0.2">
      <c r="A225" s="179" t="str">
        <f>+ARLA_32!A80</f>
        <v>MARÇO|18</v>
      </c>
      <c r="B225" s="188">
        <f>'[71]mar-18'!$E$9</f>
        <v>4.2</v>
      </c>
      <c r="C225" s="189">
        <f t="shared" si="87"/>
        <v>345.0906743353483</v>
      </c>
      <c r="D225" s="190">
        <f t="shared" si="88"/>
        <v>-0.21382751247326359</v>
      </c>
      <c r="E225" s="190">
        <f t="shared" si="89"/>
        <v>11.850865512649822</v>
      </c>
      <c r="F225" s="191">
        <f t="shared" si="90"/>
        <v>14.503816793893144</v>
      </c>
      <c r="G225" s="192">
        <f t="shared" si="91"/>
        <v>12.660944206008562</v>
      </c>
      <c r="H225" s="193">
        <f t="shared" si="34"/>
        <v>1.0019047619047619</v>
      </c>
      <c r="I225" s="60"/>
    </row>
    <row r="226" spans="1:12" s="51" customFormat="1" ht="15" customHeight="1" thickBot="1" x14ac:dyDescent="0.25">
      <c r="A226" s="144" t="str">
        <f>+ARLA_32!A81</f>
        <v>ABRIL|18</v>
      </c>
      <c r="B226" s="173">
        <v>4.2080000000000002</v>
      </c>
      <c r="C226" s="174">
        <f t="shared" ref="C226" si="92">100*B226/B$7</f>
        <v>345.74798990551091</v>
      </c>
      <c r="D226" s="175">
        <f t="shared" ref="D226" si="93">100*(B226/B225-1)</f>
        <v>0.19047619047618536</v>
      </c>
      <c r="E226" s="175">
        <f t="shared" ref="E226" si="94">100*(B226/$B$210-1)</f>
        <v>12.063914780292961</v>
      </c>
      <c r="F226" s="176">
        <f t="shared" ref="F226" si="95">(100*(B226/B214-1))</f>
        <v>16.050744622173198</v>
      </c>
      <c r="G226" s="177">
        <f t="shared" ref="G226" si="96">100*(B226/B202-1)</f>
        <v>13.606911447084236</v>
      </c>
      <c r="H226" s="178">
        <f t="shared" si="34"/>
        <v>1</v>
      </c>
      <c r="I226" s="60"/>
    </row>
    <row r="227" spans="1:12" s="51" customFormat="1" x14ac:dyDescent="0.2">
      <c r="A227" s="25" t="s">
        <v>311</v>
      </c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</row>
    <row r="228" spans="1:12" s="51" customFormat="1" x14ac:dyDescent="0.2">
      <c r="A228" s="25" t="s">
        <v>310</v>
      </c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</row>
    <row r="229" spans="1:12" s="51" customFormat="1" x14ac:dyDescent="0.2"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</row>
    <row r="230" spans="1:12" s="51" customFormat="1" x14ac:dyDescent="0.2"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</row>
    <row r="231" spans="1:12" s="51" customFormat="1" x14ac:dyDescent="0.2"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</row>
    <row r="232" spans="1:12" s="51" customFormat="1" x14ac:dyDescent="0.2"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</row>
    <row r="233" spans="1:12" s="51" customFormat="1" x14ac:dyDescent="0.2"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</row>
    <row r="234" spans="1:12" s="51" customFormat="1" x14ac:dyDescent="0.2"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</row>
    <row r="235" spans="1:12" s="51" customFormat="1" x14ac:dyDescent="0.2"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</row>
    <row r="236" spans="1:12" s="51" customFormat="1" x14ac:dyDescent="0.2"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</row>
    <row r="237" spans="1:12" s="51" customFormat="1" x14ac:dyDescent="0.2"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</row>
    <row r="238" spans="1:12" s="51" customFormat="1" x14ac:dyDescent="0.2"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</row>
    <row r="239" spans="1:12" s="51" customFormat="1" x14ac:dyDescent="0.2"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</row>
    <row r="240" spans="1:12" s="51" customFormat="1" x14ac:dyDescent="0.2"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</row>
    <row r="241" spans="2:12" s="51" customFormat="1" x14ac:dyDescent="0.2"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</row>
    <row r="242" spans="2:12" s="51" customFormat="1" x14ac:dyDescent="0.2"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</row>
    <row r="243" spans="2:12" s="51" customFormat="1" x14ac:dyDescent="0.2"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</row>
    <row r="244" spans="2:12" s="51" customFormat="1" x14ac:dyDescent="0.2"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</row>
    <row r="245" spans="2:12" s="51" customFormat="1" x14ac:dyDescent="0.2"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</row>
    <row r="246" spans="2:12" s="51" customFormat="1" x14ac:dyDescent="0.2"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</row>
    <row r="247" spans="2:12" s="51" customFormat="1" x14ac:dyDescent="0.2"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</row>
    <row r="248" spans="2:12" s="51" customFormat="1" x14ac:dyDescent="0.2"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</row>
    <row r="249" spans="2:12" s="51" customFormat="1" x14ac:dyDescent="0.2"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</row>
    <row r="250" spans="2:12" s="51" customFormat="1" x14ac:dyDescent="0.2"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</row>
    <row r="251" spans="2:12" s="51" customFormat="1" x14ac:dyDescent="0.2"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</row>
    <row r="252" spans="2:12" s="51" customFormat="1" x14ac:dyDescent="0.2"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</row>
    <row r="253" spans="2:12" s="51" customFormat="1" x14ac:dyDescent="0.2"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</row>
    <row r="254" spans="2:12" s="51" customFormat="1" x14ac:dyDescent="0.2"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</row>
    <row r="255" spans="2:12" s="51" customFormat="1" x14ac:dyDescent="0.2"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</row>
    <row r="256" spans="2:12" s="51" customFormat="1" x14ac:dyDescent="0.2"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</row>
    <row r="257" spans="2:12" s="51" customFormat="1" x14ac:dyDescent="0.2"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</row>
    <row r="258" spans="2:12" s="51" customFormat="1" x14ac:dyDescent="0.2"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</row>
    <row r="259" spans="2:12" s="51" customFormat="1" x14ac:dyDescent="0.2"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</row>
    <row r="260" spans="2:12" s="51" customFormat="1" x14ac:dyDescent="0.2"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</row>
    <row r="261" spans="2:12" s="51" customFormat="1" x14ac:dyDescent="0.2"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</row>
    <row r="262" spans="2:12" s="51" customFormat="1" x14ac:dyDescent="0.2"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</row>
    <row r="263" spans="2:12" s="51" customFormat="1" x14ac:dyDescent="0.2"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</row>
    <row r="264" spans="2:12" s="51" customFormat="1" x14ac:dyDescent="0.2"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</row>
    <row r="265" spans="2:12" s="51" customFormat="1" x14ac:dyDescent="0.2"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</row>
    <row r="266" spans="2:12" s="51" customFormat="1" x14ac:dyDescent="0.2"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</row>
    <row r="267" spans="2:12" s="51" customFormat="1" x14ac:dyDescent="0.2"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</row>
    <row r="268" spans="2:12" s="51" customFormat="1" x14ac:dyDescent="0.2"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</row>
    <row r="269" spans="2:12" s="51" customFormat="1" x14ac:dyDescent="0.2"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</row>
    <row r="270" spans="2:12" s="51" customFormat="1" x14ac:dyDescent="0.2"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</row>
    <row r="271" spans="2:12" s="51" customFormat="1" x14ac:dyDescent="0.2"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</row>
    <row r="272" spans="2:12" s="51" customFormat="1" x14ac:dyDescent="0.2"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</row>
    <row r="273" spans="2:12" s="51" customFormat="1" x14ac:dyDescent="0.2"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</row>
    <row r="274" spans="2:12" s="51" customFormat="1" x14ac:dyDescent="0.2"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</row>
    <row r="275" spans="2:12" s="51" customFormat="1" x14ac:dyDescent="0.2"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</row>
    <row r="276" spans="2:12" s="51" customFormat="1" x14ac:dyDescent="0.2"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</row>
    <row r="277" spans="2:12" s="51" customFormat="1" x14ac:dyDescent="0.2"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</row>
    <row r="278" spans="2:12" s="51" customFormat="1" x14ac:dyDescent="0.2"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</row>
    <row r="279" spans="2:12" s="51" customFormat="1" x14ac:dyDescent="0.2"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</row>
    <row r="280" spans="2:12" s="51" customFormat="1" x14ac:dyDescent="0.2"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</row>
    <row r="281" spans="2:12" s="51" customFormat="1" x14ac:dyDescent="0.2"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</row>
    <row r="282" spans="2:12" s="51" customFormat="1" x14ac:dyDescent="0.2"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</row>
    <row r="283" spans="2:12" s="51" customFormat="1" x14ac:dyDescent="0.2"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</row>
    <row r="284" spans="2:12" s="51" customFormat="1" x14ac:dyDescent="0.2"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</row>
    <row r="285" spans="2:12" s="51" customFormat="1" x14ac:dyDescent="0.2"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</row>
    <row r="286" spans="2:12" s="51" customFormat="1" x14ac:dyDescent="0.2"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</row>
    <row r="287" spans="2:12" s="51" customFormat="1" x14ac:dyDescent="0.2"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</row>
    <row r="288" spans="2:12" s="51" customFormat="1" x14ac:dyDescent="0.2"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</row>
    <row r="289" spans="2:12" s="51" customFormat="1" x14ac:dyDescent="0.2"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</row>
    <row r="290" spans="2:12" s="51" customFormat="1" x14ac:dyDescent="0.2"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</row>
    <row r="291" spans="2:12" s="51" customFormat="1" x14ac:dyDescent="0.2"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</row>
    <row r="292" spans="2:12" s="51" customFormat="1" x14ac:dyDescent="0.2"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</row>
    <row r="293" spans="2:12" s="51" customFormat="1" x14ac:dyDescent="0.2"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</row>
    <row r="294" spans="2:12" s="51" customFormat="1" x14ac:dyDescent="0.2"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</row>
    <row r="295" spans="2:12" s="51" customFormat="1" x14ac:dyDescent="0.2"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</row>
    <row r="296" spans="2:12" s="51" customFormat="1" x14ac:dyDescent="0.2"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</row>
    <row r="297" spans="2:12" s="51" customFormat="1" x14ac:dyDescent="0.2"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</row>
    <row r="298" spans="2:12" s="51" customFormat="1" x14ac:dyDescent="0.2"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</row>
    <row r="299" spans="2:12" s="51" customFormat="1" x14ac:dyDescent="0.2"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</row>
    <row r="300" spans="2:12" s="51" customFormat="1" x14ac:dyDescent="0.2"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</row>
    <row r="301" spans="2:12" s="51" customFormat="1" x14ac:dyDescent="0.2"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</row>
    <row r="302" spans="2:12" s="51" customFormat="1" x14ac:dyDescent="0.2"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</row>
    <row r="303" spans="2:12" s="51" customFormat="1" x14ac:dyDescent="0.2"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</row>
    <row r="304" spans="2:12" s="51" customFormat="1" x14ac:dyDescent="0.2"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</row>
    <row r="305" spans="2:12" s="51" customFormat="1" x14ac:dyDescent="0.2"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</row>
    <row r="306" spans="2:12" s="51" customFormat="1" x14ac:dyDescent="0.2"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</row>
    <row r="307" spans="2:12" s="51" customFormat="1" x14ac:dyDescent="0.2"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</row>
    <row r="308" spans="2:12" s="51" customFormat="1" x14ac:dyDescent="0.2"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</row>
    <row r="309" spans="2:12" s="51" customFormat="1" x14ac:dyDescent="0.2"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</row>
    <row r="310" spans="2:12" s="51" customFormat="1" x14ac:dyDescent="0.2"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</row>
    <row r="311" spans="2:12" s="51" customFormat="1" x14ac:dyDescent="0.2"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</row>
    <row r="312" spans="2:12" s="51" customFormat="1" x14ac:dyDescent="0.2"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</row>
    <row r="313" spans="2:12" s="51" customFormat="1" x14ac:dyDescent="0.2"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</row>
    <row r="314" spans="2:12" s="51" customFormat="1" x14ac:dyDescent="0.2"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</row>
    <row r="315" spans="2:12" s="51" customFormat="1" x14ac:dyDescent="0.2"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</row>
    <row r="316" spans="2:12" s="51" customFormat="1" x14ac:dyDescent="0.2"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</row>
    <row r="317" spans="2:12" s="51" customFormat="1" x14ac:dyDescent="0.2"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</row>
    <row r="318" spans="2:12" s="51" customFormat="1" x14ac:dyDescent="0.2"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</row>
    <row r="319" spans="2:12" s="51" customFormat="1" x14ac:dyDescent="0.2"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</row>
    <row r="320" spans="2:12" s="51" customFormat="1" x14ac:dyDescent="0.2"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</row>
    <row r="321" spans="2:12" s="51" customFormat="1" x14ac:dyDescent="0.2"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</row>
    <row r="322" spans="2:12" s="51" customFormat="1" x14ac:dyDescent="0.2"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</row>
    <row r="323" spans="2:12" s="51" customFormat="1" x14ac:dyDescent="0.2"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</row>
    <row r="324" spans="2:12" s="51" customFormat="1" x14ac:dyDescent="0.2"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</row>
    <row r="325" spans="2:12" s="51" customFormat="1" x14ac:dyDescent="0.2"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</row>
    <row r="326" spans="2:12" s="51" customFormat="1" x14ac:dyDescent="0.2"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</row>
    <row r="327" spans="2:12" s="51" customFormat="1" x14ac:dyDescent="0.2"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</row>
    <row r="328" spans="2:12" s="51" customFormat="1" x14ac:dyDescent="0.2"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</row>
    <row r="329" spans="2:12" s="51" customFormat="1" x14ac:dyDescent="0.2"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</row>
    <row r="330" spans="2:12" s="51" customFormat="1" x14ac:dyDescent="0.2"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</row>
    <row r="331" spans="2:12" s="51" customFormat="1" x14ac:dyDescent="0.2"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</row>
    <row r="332" spans="2:12" s="51" customFormat="1" x14ac:dyDescent="0.2"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</row>
    <row r="333" spans="2:12" s="51" customFormat="1" x14ac:dyDescent="0.2"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</row>
    <row r="334" spans="2:12" s="51" customFormat="1" x14ac:dyDescent="0.2"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</row>
    <row r="335" spans="2:12" s="51" customFormat="1" x14ac:dyDescent="0.2"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</row>
    <row r="336" spans="2:12" s="51" customFormat="1" x14ac:dyDescent="0.2"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</row>
    <row r="337" spans="2:12" s="51" customFormat="1" x14ac:dyDescent="0.2"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</row>
    <row r="338" spans="2:12" s="51" customFormat="1" x14ac:dyDescent="0.2"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</row>
    <row r="339" spans="2:12" s="51" customFormat="1" x14ac:dyDescent="0.2"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</row>
    <row r="340" spans="2:12" s="51" customFormat="1" x14ac:dyDescent="0.2"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</row>
    <row r="341" spans="2:12" s="51" customFormat="1" x14ac:dyDescent="0.2"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</row>
    <row r="342" spans="2:12" s="51" customFormat="1" x14ac:dyDescent="0.2"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</row>
    <row r="343" spans="2:12" s="51" customFormat="1" x14ac:dyDescent="0.2"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</row>
    <row r="344" spans="2:12" s="51" customFormat="1" x14ac:dyDescent="0.2"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</row>
    <row r="345" spans="2:12" s="51" customFormat="1" x14ac:dyDescent="0.2"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</row>
    <row r="346" spans="2:12" s="51" customFormat="1" x14ac:dyDescent="0.2"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</row>
    <row r="347" spans="2:12" s="51" customFormat="1" x14ac:dyDescent="0.2"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</row>
    <row r="348" spans="2:12" s="51" customFormat="1" x14ac:dyDescent="0.2"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</row>
    <row r="349" spans="2:12" s="51" customFormat="1" x14ac:dyDescent="0.2"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</row>
    <row r="350" spans="2:12" s="51" customFormat="1" x14ac:dyDescent="0.2"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</row>
    <row r="351" spans="2:12" s="51" customFormat="1" x14ac:dyDescent="0.2"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</row>
    <row r="352" spans="2:12" s="51" customFormat="1" x14ac:dyDescent="0.2"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</row>
    <row r="353" spans="2:12" s="51" customFormat="1" x14ac:dyDescent="0.2"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</row>
    <row r="354" spans="2:12" s="51" customFormat="1" x14ac:dyDescent="0.2"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</row>
    <row r="355" spans="2:12" s="51" customFormat="1" x14ac:dyDescent="0.2"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</row>
    <row r="356" spans="2:12" s="51" customFormat="1" x14ac:dyDescent="0.2"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</row>
    <row r="357" spans="2:12" s="51" customFormat="1" x14ac:dyDescent="0.2"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</row>
    <row r="358" spans="2:12" s="51" customFormat="1" x14ac:dyDescent="0.2"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</row>
    <row r="359" spans="2:12" s="51" customFormat="1" x14ac:dyDescent="0.2"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</row>
    <row r="360" spans="2:12" s="51" customFormat="1" x14ac:dyDescent="0.2"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</row>
    <row r="361" spans="2:12" s="51" customFormat="1" x14ac:dyDescent="0.2"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</row>
    <row r="362" spans="2:12" s="51" customFormat="1" x14ac:dyDescent="0.2"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</row>
    <row r="363" spans="2:12" s="51" customFormat="1" x14ac:dyDescent="0.2"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</row>
    <row r="364" spans="2:12" s="51" customFormat="1" x14ac:dyDescent="0.2"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</row>
    <row r="365" spans="2:12" s="51" customFormat="1" x14ac:dyDescent="0.2"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</row>
    <row r="366" spans="2:12" s="51" customFormat="1" x14ac:dyDescent="0.2"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</row>
    <row r="367" spans="2:12" s="51" customFormat="1" x14ac:dyDescent="0.2"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</row>
    <row r="368" spans="2:12" s="51" customFormat="1" x14ac:dyDescent="0.2"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</row>
    <row r="369" spans="2:12" s="51" customFormat="1" x14ac:dyDescent="0.2"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</row>
    <row r="370" spans="2:12" s="51" customFormat="1" x14ac:dyDescent="0.2"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</row>
    <row r="371" spans="2:12" s="51" customFormat="1" x14ac:dyDescent="0.2"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</row>
    <row r="372" spans="2:12" s="51" customFormat="1" x14ac:dyDescent="0.2"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</row>
    <row r="373" spans="2:12" s="51" customFormat="1" x14ac:dyDescent="0.2"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</row>
    <row r="374" spans="2:12" s="51" customFormat="1" x14ac:dyDescent="0.2"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</row>
    <row r="375" spans="2:12" s="51" customFormat="1" x14ac:dyDescent="0.2"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</row>
    <row r="376" spans="2:12" s="51" customFormat="1" x14ac:dyDescent="0.2"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</row>
    <row r="377" spans="2:12" s="51" customFormat="1" x14ac:dyDescent="0.2"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</row>
    <row r="378" spans="2:12" s="51" customFormat="1" x14ac:dyDescent="0.2"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</row>
    <row r="379" spans="2:12" s="51" customFormat="1" x14ac:dyDescent="0.2"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</row>
    <row r="380" spans="2:12" s="51" customFormat="1" x14ac:dyDescent="0.2"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</row>
    <row r="381" spans="2:12" s="51" customFormat="1" x14ac:dyDescent="0.2"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</row>
    <row r="382" spans="2:12" s="51" customFormat="1" x14ac:dyDescent="0.2"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</row>
    <row r="383" spans="2:12" s="51" customFormat="1" x14ac:dyDescent="0.2"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</row>
    <row r="384" spans="2:12" s="51" customFormat="1" x14ac:dyDescent="0.2"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</row>
    <row r="385" spans="2:12" s="51" customFormat="1" x14ac:dyDescent="0.2"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</row>
    <row r="386" spans="2:12" s="51" customFormat="1" x14ac:dyDescent="0.2"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</row>
    <row r="387" spans="2:12" s="51" customFormat="1" x14ac:dyDescent="0.2"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</row>
    <row r="388" spans="2:12" s="51" customFormat="1" x14ac:dyDescent="0.2"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</row>
    <row r="389" spans="2:12" s="51" customFormat="1" x14ac:dyDescent="0.2"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</row>
    <row r="390" spans="2:12" s="51" customFormat="1" x14ac:dyDescent="0.2"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</row>
    <row r="391" spans="2:12" s="51" customFormat="1" x14ac:dyDescent="0.2"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</row>
    <row r="392" spans="2:12" s="51" customFormat="1" x14ac:dyDescent="0.2"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</row>
    <row r="393" spans="2:12" s="51" customFormat="1" x14ac:dyDescent="0.2"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</row>
    <row r="394" spans="2:12" s="51" customFormat="1" x14ac:dyDescent="0.2"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</row>
    <row r="395" spans="2:12" s="51" customFormat="1" x14ac:dyDescent="0.2"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</row>
    <row r="396" spans="2:12" s="51" customFormat="1" x14ac:dyDescent="0.2"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</row>
    <row r="397" spans="2:12" s="51" customFormat="1" x14ac:dyDescent="0.2"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</row>
    <row r="398" spans="2:12" s="51" customFormat="1" x14ac:dyDescent="0.2"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</row>
    <row r="399" spans="2:12" s="51" customFormat="1" x14ac:dyDescent="0.2"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</row>
    <row r="400" spans="2:12" s="51" customFormat="1" x14ac:dyDescent="0.2"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</row>
    <row r="401" spans="2:12" s="51" customFormat="1" x14ac:dyDescent="0.2"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</row>
    <row r="402" spans="2:12" s="51" customFormat="1" x14ac:dyDescent="0.2"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</row>
    <row r="403" spans="2:12" s="51" customFormat="1" x14ac:dyDescent="0.2"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</row>
    <row r="404" spans="2:12" s="51" customFormat="1" x14ac:dyDescent="0.2"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</row>
    <row r="405" spans="2:12" s="51" customFormat="1" x14ac:dyDescent="0.2"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</row>
    <row r="406" spans="2:12" s="51" customFormat="1" x14ac:dyDescent="0.2"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</row>
    <row r="407" spans="2:12" s="51" customFormat="1" x14ac:dyDescent="0.2"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</row>
    <row r="408" spans="2:12" s="51" customFormat="1" x14ac:dyDescent="0.2"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</row>
    <row r="409" spans="2:12" s="51" customFormat="1" x14ac:dyDescent="0.2"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</row>
    <row r="410" spans="2:12" s="51" customFormat="1" x14ac:dyDescent="0.2"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</row>
    <row r="411" spans="2:12" s="51" customFormat="1" x14ac:dyDescent="0.2"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</row>
    <row r="412" spans="2:12" s="51" customFormat="1" x14ac:dyDescent="0.2"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</row>
    <row r="413" spans="2:12" s="51" customFormat="1" x14ac:dyDescent="0.2"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</row>
    <row r="414" spans="2:12" s="51" customFormat="1" x14ac:dyDescent="0.2"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</row>
    <row r="415" spans="2:12" s="51" customFormat="1" x14ac:dyDescent="0.2"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</row>
    <row r="416" spans="2:12" s="51" customFormat="1" x14ac:dyDescent="0.2"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</row>
    <row r="417" spans="2:12" s="51" customFormat="1" x14ac:dyDescent="0.2"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</row>
    <row r="418" spans="2:12" s="51" customFormat="1" x14ac:dyDescent="0.2"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</row>
    <row r="419" spans="2:12" s="51" customFormat="1" x14ac:dyDescent="0.2"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</row>
    <row r="420" spans="2:12" s="51" customFormat="1" x14ac:dyDescent="0.2"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</row>
    <row r="421" spans="2:12" s="51" customFormat="1" x14ac:dyDescent="0.2"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</row>
    <row r="422" spans="2:12" s="51" customFormat="1" x14ac:dyDescent="0.2"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</row>
    <row r="423" spans="2:12" s="51" customFormat="1" x14ac:dyDescent="0.2"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</row>
    <row r="424" spans="2:12" s="51" customFormat="1" x14ac:dyDescent="0.2"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</row>
    <row r="425" spans="2:12" s="51" customFormat="1" x14ac:dyDescent="0.2"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</row>
    <row r="426" spans="2:12" s="51" customFormat="1" x14ac:dyDescent="0.2"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</row>
    <row r="427" spans="2:12" s="51" customFormat="1" x14ac:dyDescent="0.2"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</row>
    <row r="428" spans="2:12" s="51" customFormat="1" x14ac:dyDescent="0.2"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</row>
    <row r="429" spans="2:12" s="51" customFormat="1" x14ac:dyDescent="0.2"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</row>
    <row r="430" spans="2:12" s="51" customFormat="1" x14ac:dyDescent="0.2"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</row>
    <row r="431" spans="2:12" s="51" customFormat="1" x14ac:dyDescent="0.2"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</row>
    <row r="432" spans="2:12" s="51" customFormat="1" x14ac:dyDescent="0.2"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</row>
    <row r="433" spans="2:12" s="51" customFormat="1" x14ac:dyDescent="0.2"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</row>
    <row r="434" spans="2:12" s="51" customFormat="1" x14ac:dyDescent="0.2"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</row>
    <row r="435" spans="2:12" s="51" customFormat="1" x14ac:dyDescent="0.2"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</row>
    <row r="436" spans="2:12" s="51" customFormat="1" x14ac:dyDescent="0.2"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</row>
    <row r="437" spans="2:12" s="51" customFormat="1" x14ac:dyDescent="0.2"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</row>
    <row r="438" spans="2:12" s="51" customFormat="1" x14ac:dyDescent="0.2"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</row>
    <row r="439" spans="2:12" s="51" customFormat="1" x14ac:dyDescent="0.2"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</row>
    <row r="440" spans="2:12" s="51" customFormat="1" x14ac:dyDescent="0.2"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</row>
    <row r="441" spans="2:12" s="51" customFormat="1" x14ac:dyDescent="0.2"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</row>
    <row r="442" spans="2:12" s="51" customFormat="1" x14ac:dyDescent="0.2"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</row>
    <row r="443" spans="2:12" s="51" customFormat="1" x14ac:dyDescent="0.2"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</row>
    <row r="444" spans="2:12" s="51" customFormat="1" x14ac:dyDescent="0.2"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</row>
    <row r="445" spans="2:12" s="51" customFormat="1" x14ac:dyDescent="0.2"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</row>
    <row r="446" spans="2:12" s="51" customFormat="1" x14ac:dyDescent="0.2"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</row>
    <row r="447" spans="2:12" s="51" customFormat="1" x14ac:dyDescent="0.2"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</row>
    <row r="448" spans="2:12" s="51" customFormat="1" x14ac:dyDescent="0.2"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</row>
    <row r="449" spans="2:12" s="51" customFormat="1" x14ac:dyDescent="0.2"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</row>
    <row r="450" spans="2:12" s="51" customFormat="1" x14ac:dyDescent="0.2"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</row>
    <row r="451" spans="2:12" s="51" customFormat="1" x14ac:dyDescent="0.2"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</row>
    <row r="452" spans="2:12" s="51" customFormat="1" x14ac:dyDescent="0.2"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</row>
    <row r="453" spans="2:12" s="51" customFormat="1" x14ac:dyDescent="0.2"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</row>
    <row r="454" spans="2:12" s="51" customFormat="1" x14ac:dyDescent="0.2"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</row>
    <row r="455" spans="2:12" s="51" customFormat="1" x14ac:dyDescent="0.2"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</row>
    <row r="456" spans="2:12" s="51" customFormat="1" x14ac:dyDescent="0.2"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</row>
    <row r="457" spans="2:12" s="51" customFormat="1" x14ac:dyDescent="0.2"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</row>
    <row r="458" spans="2:12" s="51" customFormat="1" x14ac:dyDescent="0.2"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</row>
    <row r="459" spans="2:12" s="51" customFormat="1" x14ac:dyDescent="0.2"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</row>
    <row r="460" spans="2:12" s="51" customFormat="1" x14ac:dyDescent="0.2"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</row>
    <row r="461" spans="2:12" s="51" customFormat="1" x14ac:dyDescent="0.2"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</row>
    <row r="462" spans="2:12" s="51" customFormat="1" x14ac:dyDescent="0.2"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</row>
    <row r="463" spans="2:12" s="51" customFormat="1" x14ac:dyDescent="0.2"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</row>
    <row r="464" spans="2:12" s="51" customFormat="1" x14ac:dyDescent="0.2"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</row>
    <row r="465" spans="2:12" s="51" customFormat="1" x14ac:dyDescent="0.2"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</row>
    <row r="466" spans="2:12" s="51" customFormat="1" x14ac:dyDescent="0.2"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</row>
    <row r="467" spans="2:12" s="51" customFormat="1" x14ac:dyDescent="0.2"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</row>
    <row r="468" spans="2:12" s="51" customFormat="1" x14ac:dyDescent="0.2"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</row>
    <row r="469" spans="2:12" s="51" customFormat="1" x14ac:dyDescent="0.2"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</row>
    <row r="470" spans="2:12" s="51" customFormat="1" x14ac:dyDescent="0.2"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</row>
    <row r="471" spans="2:12" s="51" customFormat="1" x14ac:dyDescent="0.2"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</row>
    <row r="472" spans="2:12" s="51" customFormat="1" x14ac:dyDescent="0.2"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</row>
    <row r="473" spans="2:12" s="51" customFormat="1" x14ac:dyDescent="0.2"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</row>
    <row r="474" spans="2:12" s="51" customFormat="1" x14ac:dyDescent="0.2"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</row>
    <row r="475" spans="2:12" s="51" customFormat="1" x14ac:dyDescent="0.2"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</row>
    <row r="476" spans="2:12" s="51" customFormat="1" x14ac:dyDescent="0.2"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</row>
    <row r="477" spans="2:12" s="51" customFormat="1" x14ac:dyDescent="0.2"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</row>
    <row r="478" spans="2:12" s="51" customFormat="1" x14ac:dyDescent="0.2"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</row>
    <row r="479" spans="2:12" s="51" customFormat="1" x14ac:dyDescent="0.2"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</row>
    <row r="480" spans="2:12" s="51" customFormat="1" x14ac:dyDescent="0.2"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</row>
    <row r="481" spans="2:12" s="51" customFormat="1" x14ac:dyDescent="0.2"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</row>
    <row r="482" spans="2:12" s="51" customFormat="1" x14ac:dyDescent="0.2"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</row>
    <row r="483" spans="2:12" s="51" customFormat="1" x14ac:dyDescent="0.2"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</row>
    <row r="484" spans="2:12" s="51" customFormat="1" x14ac:dyDescent="0.2"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</row>
    <row r="485" spans="2:12" s="51" customFormat="1" x14ac:dyDescent="0.2"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</row>
    <row r="486" spans="2:12" s="51" customFormat="1" x14ac:dyDescent="0.2"/>
  </sheetData>
  <mergeCells count="6">
    <mergeCell ref="A1:H2"/>
    <mergeCell ref="A3:C3"/>
    <mergeCell ref="D3:H3"/>
    <mergeCell ref="A4:C4"/>
    <mergeCell ref="D4:G4"/>
    <mergeCell ref="H4:H5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/>
  <dimension ref="A1:AGC485"/>
  <sheetViews>
    <sheetView showGridLines="0" workbookViewId="0">
      <pane ySplit="2985" topLeftCell="A219" activePane="bottomLeft"/>
      <selection activeCell="J6" sqref="J6:J13"/>
      <selection pane="bottomLeft" activeCell="H228" sqref="H228"/>
    </sheetView>
  </sheetViews>
  <sheetFormatPr defaultRowHeight="15" x14ac:dyDescent="0.2"/>
  <cols>
    <col min="1" max="1" width="10.44140625" customWidth="1"/>
    <col min="2" max="7" width="7.88671875" customWidth="1"/>
    <col min="8" max="8" width="11.88671875" customWidth="1"/>
    <col min="9" max="256" width="8.88671875" style="51"/>
    <col min="257" max="257" width="7.77734375" style="51" customWidth="1"/>
    <col min="258" max="258" width="7.88671875" style="51" bestFit="1" customWidth="1"/>
    <col min="259" max="259" width="7.88671875" style="51" customWidth="1"/>
    <col min="260" max="263" width="8.88671875" style="51"/>
    <col min="264" max="264" width="11.88671875" style="51" customWidth="1"/>
    <col min="265" max="512" width="8.88671875" style="51"/>
    <col min="513" max="513" width="7.77734375" style="51" customWidth="1"/>
    <col min="514" max="514" width="7.88671875" style="51" bestFit="1" customWidth="1"/>
    <col min="515" max="515" width="7.88671875" style="51" customWidth="1"/>
    <col min="516" max="519" width="8.88671875" style="51"/>
    <col min="520" max="520" width="11.88671875" style="51" customWidth="1"/>
    <col min="521" max="768" width="8.88671875" style="51"/>
    <col min="769" max="769" width="7.77734375" style="51" customWidth="1"/>
    <col min="770" max="770" width="7.88671875" style="51" bestFit="1" customWidth="1"/>
    <col min="771" max="771" width="7.88671875" style="51" customWidth="1"/>
    <col min="772" max="775" width="8.88671875" style="51"/>
    <col min="776" max="776" width="11.88671875" style="51" customWidth="1"/>
    <col min="777" max="861" width="8.88671875" style="51"/>
    <col min="1025" max="1025" width="7.77734375" customWidth="1"/>
    <col min="1026" max="1026" width="7.88671875" bestFit="1" customWidth="1"/>
    <col min="1027" max="1027" width="7.88671875" customWidth="1"/>
    <col min="1032" max="1032" width="11.88671875" customWidth="1"/>
    <col min="1281" max="1281" width="7.77734375" customWidth="1"/>
    <col min="1282" max="1282" width="7.88671875" bestFit="1" customWidth="1"/>
    <col min="1283" max="1283" width="7.88671875" customWidth="1"/>
    <col min="1288" max="1288" width="11.88671875" customWidth="1"/>
    <col min="1537" max="1537" width="7.77734375" customWidth="1"/>
    <col min="1538" max="1538" width="7.88671875" bestFit="1" customWidth="1"/>
    <col min="1539" max="1539" width="7.88671875" customWidth="1"/>
    <col min="1544" max="1544" width="11.88671875" customWidth="1"/>
    <col min="1793" max="1793" width="7.77734375" customWidth="1"/>
    <col min="1794" max="1794" width="7.88671875" bestFit="1" customWidth="1"/>
    <col min="1795" max="1795" width="7.88671875" customWidth="1"/>
    <col min="1800" max="1800" width="11.88671875" customWidth="1"/>
    <col min="2049" max="2049" width="7.77734375" customWidth="1"/>
    <col min="2050" max="2050" width="7.88671875" bestFit="1" customWidth="1"/>
    <col min="2051" max="2051" width="7.88671875" customWidth="1"/>
    <col min="2056" max="2056" width="11.88671875" customWidth="1"/>
    <col min="2305" max="2305" width="7.77734375" customWidth="1"/>
    <col min="2306" max="2306" width="7.88671875" bestFit="1" customWidth="1"/>
    <col min="2307" max="2307" width="7.88671875" customWidth="1"/>
    <col min="2312" max="2312" width="11.88671875" customWidth="1"/>
    <col min="2561" max="2561" width="7.77734375" customWidth="1"/>
    <col min="2562" max="2562" width="7.88671875" bestFit="1" customWidth="1"/>
    <col min="2563" max="2563" width="7.88671875" customWidth="1"/>
    <col min="2568" max="2568" width="11.88671875" customWidth="1"/>
    <col min="2817" max="2817" width="7.77734375" customWidth="1"/>
    <col min="2818" max="2818" width="7.88671875" bestFit="1" customWidth="1"/>
    <col min="2819" max="2819" width="7.88671875" customWidth="1"/>
    <col min="2824" max="2824" width="11.88671875" customWidth="1"/>
    <col min="3073" max="3073" width="7.77734375" customWidth="1"/>
    <col min="3074" max="3074" width="7.88671875" bestFit="1" customWidth="1"/>
    <col min="3075" max="3075" width="7.88671875" customWidth="1"/>
    <col min="3080" max="3080" width="11.88671875" customWidth="1"/>
    <col min="3329" max="3329" width="7.77734375" customWidth="1"/>
    <col min="3330" max="3330" width="7.88671875" bestFit="1" customWidth="1"/>
    <col min="3331" max="3331" width="7.88671875" customWidth="1"/>
    <col min="3336" max="3336" width="11.88671875" customWidth="1"/>
    <col min="3585" max="3585" width="7.77734375" customWidth="1"/>
    <col min="3586" max="3586" width="7.88671875" bestFit="1" customWidth="1"/>
    <col min="3587" max="3587" width="7.88671875" customWidth="1"/>
    <col min="3592" max="3592" width="11.88671875" customWidth="1"/>
    <col min="3841" max="3841" width="7.77734375" customWidth="1"/>
    <col min="3842" max="3842" width="7.88671875" bestFit="1" customWidth="1"/>
    <col min="3843" max="3843" width="7.88671875" customWidth="1"/>
    <col min="3848" max="3848" width="11.88671875" customWidth="1"/>
    <col min="4097" max="4097" width="7.77734375" customWidth="1"/>
    <col min="4098" max="4098" width="7.88671875" bestFit="1" customWidth="1"/>
    <col min="4099" max="4099" width="7.88671875" customWidth="1"/>
    <col min="4104" max="4104" width="11.88671875" customWidth="1"/>
    <col min="4353" max="4353" width="7.77734375" customWidth="1"/>
    <col min="4354" max="4354" width="7.88671875" bestFit="1" customWidth="1"/>
    <col min="4355" max="4355" width="7.88671875" customWidth="1"/>
    <col min="4360" max="4360" width="11.88671875" customWidth="1"/>
    <col min="4609" max="4609" width="7.77734375" customWidth="1"/>
    <col min="4610" max="4610" width="7.88671875" bestFit="1" customWidth="1"/>
    <col min="4611" max="4611" width="7.88671875" customWidth="1"/>
    <col min="4616" max="4616" width="11.88671875" customWidth="1"/>
    <col min="4865" max="4865" width="7.77734375" customWidth="1"/>
    <col min="4866" max="4866" width="7.88671875" bestFit="1" customWidth="1"/>
    <col min="4867" max="4867" width="7.88671875" customWidth="1"/>
    <col min="4872" max="4872" width="11.88671875" customWidth="1"/>
    <col min="5121" max="5121" width="7.77734375" customWidth="1"/>
    <col min="5122" max="5122" width="7.88671875" bestFit="1" customWidth="1"/>
    <col min="5123" max="5123" width="7.88671875" customWidth="1"/>
    <col min="5128" max="5128" width="11.88671875" customWidth="1"/>
    <col min="5377" max="5377" width="7.77734375" customWidth="1"/>
    <col min="5378" max="5378" width="7.88671875" bestFit="1" customWidth="1"/>
    <col min="5379" max="5379" width="7.88671875" customWidth="1"/>
    <col min="5384" max="5384" width="11.88671875" customWidth="1"/>
    <col min="5633" max="5633" width="7.77734375" customWidth="1"/>
    <col min="5634" max="5634" width="7.88671875" bestFit="1" customWidth="1"/>
    <col min="5635" max="5635" width="7.88671875" customWidth="1"/>
    <col min="5640" max="5640" width="11.88671875" customWidth="1"/>
    <col min="5889" max="5889" width="7.77734375" customWidth="1"/>
    <col min="5890" max="5890" width="7.88671875" bestFit="1" customWidth="1"/>
    <col min="5891" max="5891" width="7.88671875" customWidth="1"/>
    <col min="5896" max="5896" width="11.88671875" customWidth="1"/>
    <col min="6145" max="6145" width="7.77734375" customWidth="1"/>
    <col min="6146" max="6146" width="7.88671875" bestFit="1" customWidth="1"/>
    <col min="6147" max="6147" width="7.88671875" customWidth="1"/>
    <col min="6152" max="6152" width="11.88671875" customWidth="1"/>
    <col min="6401" max="6401" width="7.77734375" customWidth="1"/>
    <col min="6402" max="6402" width="7.88671875" bestFit="1" customWidth="1"/>
    <col min="6403" max="6403" width="7.88671875" customWidth="1"/>
    <col min="6408" max="6408" width="11.88671875" customWidth="1"/>
    <col min="6657" max="6657" width="7.77734375" customWidth="1"/>
    <col min="6658" max="6658" width="7.88671875" bestFit="1" customWidth="1"/>
    <col min="6659" max="6659" width="7.88671875" customWidth="1"/>
    <col min="6664" max="6664" width="11.88671875" customWidth="1"/>
    <col min="6913" max="6913" width="7.77734375" customWidth="1"/>
    <col min="6914" max="6914" width="7.88671875" bestFit="1" customWidth="1"/>
    <col min="6915" max="6915" width="7.88671875" customWidth="1"/>
    <col min="6920" max="6920" width="11.88671875" customWidth="1"/>
    <col min="7169" max="7169" width="7.77734375" customWidth="1"/>
    <col min="7170" max="7170" width="7.88671875" bestFit="1" customWidth="1"/>
    <col min="7171" max="7171" width="7.88671875" customWidth="1"/>
    <col min="7176" max="7176" width="11.88671875" customWidth="1"/>
    <col min="7425" max="7425" width="7.77734375" customWidth="1"/>
    <col min="7426" max="7426" width="7.88671875" bestFit="1" customWidth="1"/>
    <col min="7427" max="7427" width="7.88671875" customWidth="1"/>
    <col min="7432" max="7432" width="11.88671875" customWidth="1"/>
    <col min="7681" max="7681" width="7.77734375" customWidth="1"/>
    <col min="7682" max="7682" width="7.88671875" bestFit="1" customWidth="1"/>
    <col min="7683" max="7683" width="7.88671875" customWidth="1"/>
    <col min="7688" max="7688" width="11.88671875" customWidth="1"/>
    <col min="7937" max="7937" width="7.77734375" customWidth="1"/>
    <col min="7938" max="7938" width="7.88671875" bestFit="1" customWidth="1"/>
    <col min="7939" max="7939" width="7.88671875" customWidth="1"/>
    <col min="7944" max="7944" width="11.88671875" customWidth="1"/>
    <col min="8193" max="8193" width="7.77734375" customWidth="1"/>
    <col min="8194" max="8194" width="7.88671875" bestFit="1" customWidth="1"/>
    <col min="8195" max="8195" width="7.88671875" customWidth="1"/>
    <col min="8200" max="8200" width="11.88671875" customWidth="1"/>
    <col min="8449" max="8449" width="7.77734375" customWidth="1"/>
    <col min="8450" max="8450" width="7.88671875" bestFit="1" customWidth="1"/>
    <col min="8451" max="8451" width="7.88671875" customWidth="1"/>
    <col min="8456" max="8456" width="11.88671875" customWidth="1"/>
    <col min="8705" max="8705" width="7.77734375" customWidth="1"/>
    <col min="8706" max="8706" width="7.88671875" bestFit="1" customWidth="1"/>
    <col min="8707" max="8707" width="7.88671875" customWidth="1"/>
    <col min="8712" max="8712" width="11.88671875" customWidth="1"/>
    <col min="8961" max="8961" width="7.77734375" customWidth="1"/>
    <col min="8962" max="8962" width="7.88671875" bestFit="1" customWidth="1"/>
    <col min="8963" max="8963" width="7.88671875" customWidth="1"/>
    <col min="8968" max="8968" width="11.88671875" customWidth="1"/>
    <col min="9217" max="9217" width="7.77734375" customWidth="1"/>
    <col min="9218" max="9218" width="7.88671875" bestFit="1" customWidth="1"/>
    <col min="9219" max="9219" width="7.88671875" customWidth="1"/>
    <col min="9224" max="9224" width="11.88671875" customWidth="1"/>
    <col min="9473" max="9473" width="7.77734375" customWidth="1"/>
    <col min="9474" max="9474" width="7.88671875" bestFit="1" customWidth="1"/>
    <col min="9475" max="9475" width="7.88671875" customWidth="1"/>
    <col min="9480" max="9480" width="11.88671875" customWidth="1"/>
    <col min="9729" max="9729" width="7.77734375" customWidth="1"/>
    <col min="9730" max="9730" width="7.88671875" bestFit="1" customWidth="1"/>
    <col min="9731" max="9731" width="7.88671875" customWidth="1"/>
    <col min="9736" max="9736" width="11.88671875" customWidth="1"/>
    <col min="9985" max="9985" width="7.77734375" customWidth="1"/>
    <col min="9986" max="9986" width="7.88671875" bestFit="1" customWidth="1"/>
    <col min="9987" max="9987" width="7.88671875" customWidth="1"/>
    <col min="9992" max="9992" width="11.88671875" customWidth="1"/>
    <col min="10241" max="10241" width="7.77734375" customWidth="1"/>
    <col min="10242" max="10242" width="7.88671875" bestFit="1" customWidth="1"/>
    <col min="10243" max="10243" width="7.88671875" customWidth="1"/>
    <col min="10248" max="10248" width="11.88671875" customWidth="1"/>
    <col min="10497" max="10497" width="7.77734375" customWidth="1"/>
    <col min="10498" max="10498" width="7.88671875" bestFit="1" customWidth="1"/>
    <col min="10499" max="10499" width="7.88671875" customWidth="1"/>
    <col min="10504" max="10504" width="11.88671875" customWidth="1"/>
    <col min="10753" max="10753" width="7.77734375" customWidth="1"/>
    <col min="10754" max="10754" width="7.88671875" bestFit="1" customWidth="1"/>
    <col min="10755" max="10755" width="7.88671875" customWidth="1"/>
    <col min="10760" max="10760" width="11.88671875" customWidth="1"/>
    <col min="11009" max="11009" width="7.77734375" customWidth="1"/>
    <col min="11010" max="11010" width="7.88671875" bestFit="1" customWidth="1"/>
    <col min="11011" max="11011" width="7.88671875" customWidth="1"/>
    <col min="11016" max="11016" width="11.88671875" customWidth="1"/>
    <col min="11265" max="11265" width="7.77734375" customWidth="1"/>
    <col min="11266" max="11266" width="7.88671875" bestFit="1" customWidth="1"/>
    <col min="11267" max="11267" width="7.88671875" customWidth="1"/>
    <col min="11272" max="11272" width="11.88671875" customWidth="1"/>
    <col min="11521" max="11521" width="7.77734375" customWidth="1"/>
    <col min="11522" max="11522" width="7.88671875" bestFit="1" customWidth="1"/>
    <col min="11523" max="11523" width="7.88671875" customWidth="1"/>
    <col min="11528" max="11528" width="11.88671875" customWidth="1"/>
    <col min="11777" max="11777" width="7.77734375" customWidth="1"/>
    <col min="11778" max="11778" width="7.88671875" bestFit="1" customWidth="1"/>
    <col min="11779" max="11779" width="7.88671875" customWidth="1"/>
    <col min="11784" max="11784" width="11.88671875" customWidth="1"/>
    <col min="12033" max="12033" width="7.77734375" customWidth="1"/>
    <col min="12034" max="12034" width="7.88671875" bestFit="1" customWidth="1"/>
    <col min="12035" max="12035" width="7.88671875" customWidth="1"/>
    <col min="12040" max="12040" width="11.88671875" customWidth="1"/>
    <col min="12289" max="12289" width="7.77734375" customWidth="1"/>
    <col min="12290" max="12290" width="7.88671875" bestFit="1" customWidth="1"/>
    <col min="12291" max="12291" width="7.88671875" customWidth="1"/>
    <col min="12296" max="12296" width="11.88671875" customWidth="1"/>
    <col min="12545" max="12545" width="7.77734375" customWidth="1"/>
    <col min="12546" max="12546" width="7.88671875" bestFit="1" customWidth="1"/>
    <col min="12547" max="12547" width="7.88671875" customWidth="1"/>
    <col min="12552" max="12552" width="11.88671875" customWidth="1"/>
    <col min="12801" max="12801" width="7.77734375" customWidth="1"/>
    <col min="12802" max="12802" width="7.88671875" bestFit="1" customWidth="1"/>
    <col min="12803" max="12803" width="7.88671875" customWidth="1"/>
    <col min="12808" max="12808" width="11.88671875" customWidth="1"/>
    <col min="13057" max="13057" width="7.77734375" customWidth="1"/>
    <col min="13058" max="13058" width="7.88671875" bestFit="1" customWidth="1"/>
    <col min="13059" max="13059" width="7.88671875" customWidth="1"/>
    <col min="13064" max="13064" width="11.88671875" customWidth="1"/>
    <col min="13313" max="13313" width="7.77734375" customWidth="1"/>
    <col min="13314" max="13314" width="7.88671875" bestFit="1" customWidth="1"/>
    <col min="13315" max="13315" width="7.88671875" customWidth="1"/>
    <col min="13320" max="13320" width="11.88671875" customWidth="1"/>
    <col min="13569" max="13569" width="7.77734375" customWidth="1"/>
    <col min="13570" max="13570" width="7.88671875" bestFit="1" customWidth="1"/>
    <col min="13571" max="13571" width="7.88671875" customWidth="1"/>
    <col min="13576" max="13576" width="11.88671875" customWidth="1"/>
    <col min="13825" max="13825" width="7.77734375" customWidth="1"/>
    <col min="13826" max="13826" width="7.88671875" bestFit="1" customWidth="1"/>
    <col min="13827" max="13827" width="7.88671875" customWidth="1"/>
    <col min="13832" max="13832" width="11.88671875" customWidth="1"/>
    <col min="14081" max="14081" width="7.77734375" customWidth="1"/>
    <col min="14082" max="14082" width="7.88671875" bestFit="1" customWidth="1"/>
    <col min="14083" max="14083" width="7.88671875" customWidth="1"/>
    <col min="14088" max="14088" width="11.88671875" customWidth="1"/>
    <col min="14337" max="14337" width="7.77734375" customWidth="1"/>
    <col min="14338" max="14338" width="7.88671875" bestFit="1" customWidth="1"/>
    <col min="14339" max="14339" width="7.88671875" customWidth="1"/>
    <col min="14344" max="14344" width="11.88671875" customWidth="1"/>
    <col min="14593" max="14593" width="7.77734375" customWidth="1"/>
    <col min="14594" max="14594" width="7.88671875" bestFit="1" customWidth="1"/>
    <col min="14595" max="14595" width="7.88671875" customWidth="1"/>
    <col min="14600" max="14600" width="11.88671875" customWidth="1"/>
    <col min="14849" max="14849" width="7.77734375" customWidth="1"/>
    <col min="14850" max="14850" width="7.88671875" bestFit="1" customWidth="1"/>
    <col min="14851" max="14851" width="7.88671875" customWidth="1"/>
    <col min="14856" max="14856" width="11.88671875" customWidth="1"/>
    <col min="15105" max="15105" width="7.77734375" customWidth="1"/>
    <col min="15106" max="15106" width="7.88671875" bestFit="1" customWidth="1"/>
    <col min="15107" max="15107" width="7.88671875" customWidth="1"/>
    <col min="15112" max="15112" width="11.88671875" customWidth="1"/>
    <col min="15361" max="15361" width="7.77734375" customWidth="1"/>
    <col min="15362" max="15362" width="7.88671875" bestFit="1" customWidth="1"/>
    <col min="15363" max="15363" width="7.88671875" customWidth="1"/>
    <col min="15368" max="15368" width="11.88671875" customWidth="1"/>
    <col min="15617" max="15617" width="7.77734375" customWidth="1"/>
    <col min="15618" max="15618" width="7.88671875" bestFit="1" customWidth="1"/>
    <col min="15619" max="15619" width="7.88671875" customWidth="1"/>
    <col min="15624" max="15624" width="11.88671875" customWidth="1"/>
    <col min="15873" max="15873" width="7.77734375" customWidth="1"/>
    <col min="15874" max="15874" width="7.88671875" bestFit="1" customWidth="1"/>
    <col min="15875" max="15875" width="7.88671875" customWidth="1"/>
    <col min="15880" max="15880" width="11.88671875" customWidth="1"/>
    <col min="16129" max="16129" width="7.77734375" customWidth="1"/>
    <col min="16130" max="16130" width="7.88671875" bestFit="1" customWidth="1"/>
    <col min="16131" max="16131" width="7.88671875" customWidth="1"/>
    <col min="16136" max="16136" width="11.88671875" customWidth="1"/>
  </cols>
  <sheetData>
    <row r="1" spans="1:11" customFormat="1" ht="15" customHeight="1" x14ac:dyDescent="0.2">
      <c r="A1" s="222" t="s">
        <v>273</v>
      </c>
      <c r="B1" s="222"/>
      <c r="C1" s="222"/>
      <c r="D1" s="222"/>
      <c r="E1" s="222"/>
      <c r="F1" s="222"/>
      <c r="G1" s="222"/>
      <c r="H1" s="222"/>
      <c r="I1" s="51"/>
      <c r="J1" s="51"/>
      <c r="K1" s="51"/>
    </row>
    <row r="2" spans="1:11" customFormat="1" ht="35.25" customHeight="1" thickBot="1" x14ac:dyDescent="0.25">
      <c r="A2" s="222"/>
      <c r="B2" s="222"/>
      <c r="C2" s="222"/>
      <c r="D2" s="222"/>
      <c r="E2" s="222"/>
      <c r="F2" s="222"/>
      <c r="G2" s="222"/>
      <c r="H2" s="222"/>
      <c r="I2" s="51"/>
      <c r="J2" s="51"/>
      <c r="K2" s="51"/>
    </row>
    <row r="3" spans="1:11" customFormat="1" ht="27.75" customHeight="1" thickBot="1" x14ac:dyDescent="0.25">
      <c r="A3" s="223" t="s">
        <v>278</v>
      </c>
      <c r="B3" s="224"/>
      <c r="C3" s="224"/>
      <c r="D3" s="225" t="s">
        <v>275</v>
      </c>
      <c r="E3" s="225"/>
      <c r="F3" s="225"/>
      <c r="G3" s="225"/>
      <c r="H3" s="226"/>
      <c r="I3" s="51"/>
      <c r="J3" s="51"/>
      <c r="K3" s="51"/>
    </row>
    <row r="4" spans="1:11" s="51" customFormat="1" ht="21" customHeight="1" thickBot="1" x14ac:dyDescent="0.35">
      <c r="A4" s="227" t="s">
        <v>4</v>
      </c>
      <c r="B4" s="228"/>
      <c r="C4" s="228"/>
      <c r="D4" s="229" t="s">
        <v>5</v>
      </c>
      <c r="E4" s="229"/>
      <c r="F4" s="229"/>
      <c r="G4" s="229"/>
      <c r="H4" s="230" t="s">
        <v>6</v>
      </c>
    </row>
    <row r="5" spans="1:11" s="51" customFormat="1" ht="19.5" customHeight="1" thickBot="1" x14ac:dyDescent="0.25">
      <c r="A5" s="52" t="s">
        <v>276</v>
      </c>
      <c r="B5" s="53" t="s">
        <v>8</v>
      </c>
      <c r="C5" s="53" t="s">
        <v>9</v>
      </c>
      <c r="D5" s="53" t="s">
        <v>10</v>
      </c>
      <c r="E5" s="53" t="s">
        <v>11</v>
      </c>
      <c r="F5" s="53" t="s">
        <v>12</v>
      </c>
      <c r="G5" s="53" t="s">
        <v>277</v>
      </c>
      <c r="H5" s="231"/>
      <c r="I5" s="54"/>
      <c r="J5" s="54"/>
      <c r="K5" s="55"/>
    </row>
    <row r="6" spans="1:11" s="51" customFormat="1" ht="15.75" customHeight="1" thickBot="1" x14ac:dyDescent="0.25">
      <c r="A6" s="56" t="s">
        <v>14</v>
      </c>
      <c r="B6" s="57"/>
      <c r="C6" s="57"/>
      <c r="D6" s="57"/>
      <c r="E6" s="57"/>
      <c r="F6" s="57"/>
      <c r="G6" s="57"/>
      <c r="H6" s="58"/>
      <c r="I6" s="54"/>
      <c r="J6" s="54"/>
      <c r="K6" s="55"/>
    </row>
    <row r="7" spans="1:11" s="51" customFormat="1" x14ac:dyDescent="0.2">
      <c r="A7" s="139" t="s">
        <v>81</v>
      </c>
      <c r="B7" s="158">
        <f>[76]Jan2000!$D$20</f>
        <v>0.75973333333333326</v>
      </c>
      <c r="C7" s="159">
        <f>100*B7/B$7</f>
        <v>100</v>
      </c>
      <c r="D7" s="159"/>
      <c r="E7" s="159"/>
      <c r="F7" s="159"/>
      <c r="G7" s="160"/>
      <c r="H7" s="161">
        <f>+B$226/B7</f>
        <v>3.9737627237627242</v>
      </c>
      <c r="I7" s="55"/>
      <c r="J7" s="55"/>
      <c r="K7" s="55"/>
    </row>
    <row r="8" spans="1:11" s="51" customFormat="1" x14ac:dyDescent="0.2">
      <c r="A8" s="141" t="s">
        <v>82</v>
      </c>
      <c r="B8" s="162">
        <f>[76]Fev2000!D20</f>
        <v>0.75803333333333323</v>
      </c>
      <c r="C8" s="163">
        <f t="shared" ref="C8:C106" si="0">100*B8/B$7</f>
        <v>99.776237276237282</v>
      </c>
      <c r="D8" s="164">
        <f t="shared" ref="D8:D49" si="1">100*(B8/B7-1)</f>
        <v>-0.22376272376273265</v>
      </c>
      <c r="E8" s="163"/>
      <c r="F8" s="163"/>
      <c r="G8" s="165"/>
      <c r="H8" s="166">
        <f>+B$226/B8</f>
        <v>3.982674464623368</v>
      </c>
      <c r="I8" s="55"/>
      <c r="J8" s="62"/>
      <c r="K8" s="55"/>
    </row>
    <row r="9" spans="1:11" s="51" customFormat="1" x14ac:dyDescent="0.2">
      <c r="A9" s="141" t="s">
        <v>83</v>
      </c>
      <c r="B9" s="162">
        <f>[76]Mar2000!$D$20</f>
        <v>0.75573333333333326</v>
      </c>
      <c r="C9" s="163">
        <f t="shared" si="0"/>
        <v>99.473499473499473</v>
      </c>
      <c r="D9" s="164">
        <f t="shared" si="1"/>
        <v>-0.30341673629127319</v>
      </c>
      <c r="E9" s="163"/>
      <c r="F9" s="163"/>
      <c r="G9" s="165"/>
      <c r="H9" s="166">
        <f>+B$226/B9</f>
        <v>3.9947953422724072</v>
      </c>
      <c r="I9" s="55"/>
      <c r="J9" s="55"/>
      <c r="K9" s="55"/>
    </row>
    <row r="10" spans="1:11" s="51" customFormat="1" x14ac:dyDescent="0.2">
      <c r="A10" s="141" t="s">
        <v>84</v>
      </c>
      <c r="B10" s="162">
        <f>[76]Abril2000!$D$18</f>
        <v>0.75573333333333326</v>
      </c>
      <c r="C10" s="163">
        <f t="shared" si="0"/>
        <v>99.473499473499473</v>
      </c>
      <c r="D10" s="164">
        <f t="shared" si="1"/>
        <v>0</v>
      </c>
      <c r="E10" s="163"/>
      <c r="F10" s="163"/>
      <c r="G10" s="165"/>
      <c r="H10" s="166">
        <f t="shared" ref="H10:H73" si="2">+B$226/B10</f>
        <v>3.9947953422724072</v>
      </c>
      <c r="I10" s="55"/>
      <c r="J10" s="55"/>
      <c r="K10" s="55"/>
    </row>
    <row r="11" spans="1:11" s="51" customFormat="1" x14ac:dyDescent="0.2">
      <c r="A11" s="141" t="s">
        <v>85</v>
      </c>
      <c r="B11" s="162">
        <f>[76]Maio2000!$D$18</f>
        <v>0.73366666666666658</v>
      </c>
      <c r="C11" s="163">
        <f t="shared" si="0"/>
        <v>96.568971568971563</v>
      </c>
      <c r="D11" s="164">
        <f t="shared" si="1"/>
        <v>-2.9199011997177116</v>
      </c>
      <c r="E11" s="163"/>
      <c r="F11" s="163"/>
      <c r="G11" s="165"/>
      <c r="H11" s="166">
        <f t="shared" si="2"/>
        <v>4.114947751022263</v>
      </c>
      <c r="I11" s="55"/>
      <c r="J11" s="55"/>
      <c r="K11" s="55"/>
    </row>
    <row r="12" spans="1:11" s="51" customFormat="1" x14ac:dyDescent="0.2">
      <c r="A12" s="141" t="s">
        <v>86</v>
      </c>
      <c r="B12" s="162">
        <f>[76]Junho2000!$D$18</f>
        <v>0.72760000000000002</v>
      </c>
      <c r="C12" s="163">
        <f t="shared" si="0"/>
        <v>95.770445770445789</v>
      </c>
      <c r="D12" s="164">
        <f t="shared" si="1"/>
        <v>-0.82689686506132176</v>
      </c>
      <c r="E12" s="163"/>
      <c r="F12" s="163"/>
      <c r="G12" s="165"/>
      <c r="H12" s="166">
        <f t="shared" si="2"/>
        <v>4.149257833974711</v>
      </c>
      <c r="I12" s="55"/>
      <c r="J12" s="55"/>
      <c r="K12" s="55"/>
    </row>
    <row r="13" spans="1:11" s="51" customFormat="1" x14ac:dyDescent="0.2">
      <c r="A13" s="141" t="s">
        <v>87</v>
      </c>
      <c r="B13" s="162">
        <f>[76]Julho2000!$D$16</f>
        <v>0.89623076923076916</v>
      </c>
      <c r="C13" s="163">
        <f t="shared" si="0"/>
        <v>117.96649296649298</v>
      </c>
      <c r="D13" s="164">
        <f t="shared" si="1"/>
        <v>23.176301433585643</v>
      </c>
      <c r="E13" s="163"/>
      <c r="F13" s="163"/>
      <c r="G13" s="165"/>
      <c r="H13" s="166">
        <f t="shared" si="2"/>
        <v>3.3685520556175441</v>
      </c>
      <c r="I13" s="55"/>
      <c r="J13" s="55"/>
      <c r="K13" s="55"/>
    </row>
    <row r="14" spans="1:11" s="51" customFormat="1" x14ac:dyDescent="0.2">
      <c r="A14" s="141" t="s">
        <v>88</v>
      </c>
      <c r="B14" s="162">
        <f>[76]Agosto2000!$D$16</f>
        <v>1.1240000000000001</v>
      </c>
      <c r="C14" s="163">
        <f t="shared" si="0"/>
        <v>147.94664794664797</v>
      </c>
      <c r="D14" s="164">
        <f t="shared" si="1"/>
        <v>25.414127542700228</v>
      </c>
      <c r="E14" s="163"/>
      <c r="F14" s="163"/>
      <c r="G14" s="165"/>
      <c r="H14" s="166">
        <f t="shared" si="2"/>
        <v>2.6859430604982206</v>
      </c>
      <c r="I14" s="55"/>
      <c r="J14" s="55"/>
      <c r="K14" s="55"/>
    </row>
    <row r="15" spans="1:11" s="51" customFormat="1" x14ac:dyDescent="0.2">
      <c r="A15" s="141" t="s">
        <v>89</v>
      </c>
      <c r="B15" s="162">
        <f>[76]Setembro2000!$D$18</f>
        <v>1.0636923076923077</v>
      </c>
      <c r="C15" s="163">
        <f t="shared" si="0"/>
        <v>140.00864000864001</v>
      </c>
      <c r="D15" s="164">
        <f t="shared" si="1"/>
        <v>-5.3654530522857957</v>
      </c>
      <c r="E15" s="163"/>
      <c r="F15" s="163"/>
      <c r="G15" s="165"/>
      <c r="H15" s="166">
        <f t="shared" si="2"/>
        <v>2.8382267862308361</v>
      </c>
      <c r="I15" s="59"/>
      <c r="J15" s="55"/>
      <c r="K15" s="55"/>
    </row>
    <row r="16" spans="1:11" s="51" customFormat="1" x14ac:dyDescent="0.2">
      <c r="A16" s="141" t="s">
        <v>90</v>
      </c>
      <c r="B16" s="162">
        <f>[76]Outubro2000!$D$18</f>
        <v>1.0695384615384615</v>
      </c>
      <c r="C16" s="163">
        <f t="shared" si="0"/>
        <v>140.77814077814079</v>
      </c>
      <c r="D16" s="164">
        <f t="shared" si="1"/>
        <v>0.54960948799536169</v>
      </c>
      <c r="E16" s="163"/>
      <c r="F16" s="163"/>
      <c r="G16" s="165"/>
      <c r="H16" s="166">
        <f t="shared" si="2"/>
        <v>2.8227128883774455</v>
      </c>
      <c r="I16" s="59"/>
      <c r="J16" s="55"/>
      <c r="K16" s="55"/>
    </row>
    <row r="17" spans="1:11" s="51" customFormat="1" x14ac:dyDescent="0.2">
      <c r="A17" s="141" t="s">
        <v>91</v>
      </c>
      <c r="B17" s="162">
        <f>[76]Novembro2000!$D$18</f>
        <v>1.0812307692307692</v>
      </c>
      <c r="C17" s="163">
        <f t="shared" si="0"/>
        <v>142.31714231714233</v>
      </c>
      <c r="D17" s="164">
        <f t="shared" si="1"/>
        <v>1.0932105868814768</v>
      </c>
      <c r="E17" s="163"/>
      <c r="F17" s="163"/>
      <c r="G17" s="165"/>
      <c r="H17" s="166">
        <f t="shared" si="2"/>
        <v>2.7921883892999433</v>
      </c>
      <c r="I17" s="59"/>
      <c r="J17" s="55"/>
      <c r="K17" s="55"/>
    </row>
    <row r="18" spans="1:11" s="51" customFormat="1" x14ac:dyDescent="0.2">
      <c r="A18" s="141" t="s">
        <v>92</v>
      </c>
      <c r="B18" s="162">
        <f>[76]Dezembro2000!$D$18</f>
        <v>1.0695384615384615</v>
      </c>
      <c r="C18" s="163">
        <f t="shared" si="0"/>
        <v>140.77814077814079</v>
      </c>
      <c r="D18" s="164">
        <f t="shared" si="1"/>
        <v>-1.0813887307911219</v>
      </c>
      <c r="E18" s="163"/>
      <c r="F18" s="163"/>
      <c r="G18" s="165"/>
      <c r="H18" s="166">
        <f t="shared" si="2"/>
        <v>2.8227128883774455</v>
      </c>
      <c r="I18" s="59"/>
      <c r="J18" s="55"/>
      <c r="K18" s="55"/>
    </row>
    <row r="19" spans="1:11" s="51" customFormat="1" x14ac:dyDescent="0.2">
      <c r="A19" s="141" t="s">
        <v>93</v>
      </c>
      <c r="B19" s="162">
        <f>[77]Jan2001!$D$17</f>
        <v>1.0715000000000001</v>
      </c>
      <c r="C19" s="163">
        <f t="shared" si="0"/>
        <v>141.03632853632857</v>
      </c>
      <c r="D19" s="164">
        <f t="shared" si="1"/>
        <v>0.18340046029921009</v>
      </c>
      <c r="E19" s="164">
        <f>100*(C19/$C$18-1)</f>
        <v>0.18340046029921009</v>
      </c>
      <c r="F19" s="167">
        <f>(100*(C19/C7-1))</f>
        <v>41.036328536328568</v>
      </c>
      <c r="G19" s="168"/>
      <c r="H19" s="166">
        <f t="shared" si="2"/>
        <v>2.8175454969668685</v>
      </c>
      <c r="I19" s="59"/>
      <c r="J19" s="55"/>
      <c r="K19" s="55"/>
    </row>
    <row r="20" spans="1:11" s="51" customFormat="1" x14ac:dyDescent="0.2">
      <c r="A20" s="141" t="s">
        <v>94</v>
      </c>
      <c r="B20" s="162">
        <f>[77]Fev2001!$D$18</f>
        <v>1.0034615384615384</v>
      </c>
      <c r="C20" s="163">
        <f t="shared" si="0"/>
        <v>132.08075708075708</v>
      </c>
      <c r="D20" s="164">
        <f t="shared" si="1"/>
        <v>-6.3498330880505609</v>
      </c>
      <c r="E20" s="164">
        <f t="shared" ref="E20:E30" si="3">100*(C20/$C$18-1)</f>
        <v>-6.1780782508630727</v>
      </c>
      <c r="F20" s="167">
        <f t="shared" ref="F20:F83" si="4">(100*(C20/C8-1))</f>
        <v>32.376967388620351</v>
      </c>
      <c r="G20" s="168"/>
      <c r="H20" s="166">
        <f t="shared" si="2"/>
        <v>3.0085856650057496</v>
      </c>
      <c r="I20" s="59"/>
      <c r="J20" s="55"/>
      <c r="K20" s="55"/>
    </row>
    <row r="21" spans="1:11" s="51" customFormat="1" x14ac:dyDescent="0.2">
      <c r="A21" s="141" t="s">
        <v>95</v>
      </c>
      <c r="B21" s="162">
        <f>[77]Março2001!$D$17</f>
        <v>1.0753333333333333</v>
      </c>
      <c r="C21" s="163">
        <f t="shared" si="0"/>
        <v>141.54089154089155</v>
      </c>
      <c r="D21" s="164">
        <f t="shared" si="1"/>
        <v>7.1623866104510103</v>
      </c>
      <c r="E21" s="164">
        <f t="shared" si="3"/>
        <v>0.54181051016493065</v>
      </c>
      <c r="F21" s="167">
        <f t="shared" si="4"/>
        <v>42.290049400141157</v>
      </c>
      <c r="G21" s="168"/>
      <c r="H21" s="166">
        <f t="shared" si="2"/>
        <v>2.807501549907006</v>
      </c>
      <c r="I21" s="59"/>
      <c r="J21" s="55"/>
      <c r="K21" s="55"/>
    </row>
    <row r="22" spans="1:11" s="51" customFormat="1" x14ac:dyDescent="0.2">
      <c r="A22" s="141" t="s">
        <v>96</v>
      </c>
      <c r="B22" s="162">
        <f>[77]abril2001!$D$17</f>
        <v>1.0640833333333333</v>
      </c>
      <c r="C22" s="163">
        <f t="shared" si="0"/>
        <v>140.06010881010883</v>
      </c>
      <c r="D22" s="164">
        <f t="shared" si="1"/>
        <v>-1.046187228766271</v>
      </c>
      <c r="E22" s="164">
        <f t="shared" si="3"/>
        <v>-0.51004507096279461</v>
      </c>
      <c r="F22" s="167">
        <f t="shared" si="4"/>
        <v>40.801429075511678</v>
      </c>
      <c r="G22" s="168"/>
      <c r="H22" s="166">
        <f t="shared" si="2"/>
        <v>2.837183804526588</v>
      </c>
      <c r="I22" s="55"/>
      <c r="J22" s="55"/>
      <c r="K22" s="55"/>
    </row>
    <row r="23" spans="1:11" s="51" customFormat="1" x14ac:dyDescent="0.2">
      <c r="A23" s="141" t="s">
        <v>97</v>
      </c>
      <c r="B23" s="162">
        <f>[77]Maio2001!$D$18</f>
        <v>1.0034615384615384</v>
      </c>
      <c r="C23" s="163">
        <f t="shared" si="0"/>
        <v>132.08075708075708</v>
      </c>
      <c r="D23" s="164">
        <f t="shared" si="1"/>
        <v>-5.6970909112815331</v>
      </c>
      <c r="E23" s="164">
        <f t="shared" si="3"/>
        <v>-6.1780782508630727</v>
      </c>
      <c r="F23" s="167">
        <f t="shared" si="4"/>
        <v>36.773494565407347</v>
      </c>
      <c r="G23" s="168"/>
      <c r="H23" s="166">
        <f t="shared" si="2"/>
        <v>3.0085856650057496</v>
      </c>
      <c r="I23" s="55"/>
      <c r="J23" s="55"/>
      <c r="K23" s="55"/>
    </row>
    <row r="24" spans="1:11" s="51" customFormat="1" x14ac:dyDescent="0.2">
      <c r="A24" s="141" t="s">
        <v>98</v>
      </c>
      <c r="B24" s="162">
        <f>[77]Junho2001!$D$18</f>
        <v>1.0112307692307694</v>
      </c>
      <c r="C24" s="163">
        <f t="shared" si="0"/>
        <v>133.10338310338312</v>
      </c>
      <c r="D24" s="164">
        <f t="shared" si="1"/>
        <v>0.77424300498276644</v>
      </c>
      <c r="E24" s="164">
        <f t="shared" si="3"/>
        <v>-5.4516685845799717</v>
      </c>
      <c r="F24" s="167">
        <f t="shared" si="4"/>
        <v>38.98168900917662</v>
      </c>
      <c r="G24" s="168"/>
      <c r="H24" s="166">
        <f t="shared" si="2"/>
        <v>2.9854708656625588</v>
      </c>
      <c r="I24" s="55"/>
      <c r="J24" s="55"/>
      <c r="K24" s="55"/>
    </row>
    <row r="25" spans="1:11" s="51" customFormat="1" x14ac:dyDescent="0.2">
      <c r="A25" s="141" t="s">
        <v>99</v>
      </c>
      <c r="B25" s="169">
        <f>[77]Julho2001!$D$18</f>
        <v>0.96015384615384625</v>
      </c>
      <c r="C25" s="163">
        <f t="shared" si="0"/>
        <v>126.38037638037639</v>
      </c>
      <c r="D25" s="164">
        <f t="shared" si="1"/>
        <v>-5.050966073330299</v>
      </c>
      <c r="E25" s="164">
        <f t="shared" si="3"/>
        <v>-10.22727272727273</v>
      </c>
      <c r="F25" s="167">
        <f t="shared" si="4"/>
        <v>7.1324349841215273</v>
      </c>
      <c r="G25" s="168"/>
      <c r="H25" s="166">
        <f t="shared" si="2"/>
        <v>3.1442877743951287</v>
      </c>
      <c r="I25" s="55"/>
      <c r="J25" s="55"/>
      <c r="K25" s="55"/>
    </row>
    <row r="26" spans="1:11" s="51" customFormat="1" x14ac:dyDescent="0.2">
      <c r="A26" s="141" t="s">
        <v>100</v>
      </c>
      <c r="B26" s="169">
        <f>[77]Agosto2001!$D$18</f>
        <v>0.95938461538461539</v>
      </c>
      <c r="C26" s="163">
        <f t="shared" si="0"/>
        <v>126.27912627912629</v>
      </c>
      <c r="D26" s="164">
        <f t="shared" si="1"/>
        <v>-8.0115366127231358E-2</v>
      </c>
      <c r="E26" s="164">
        <f t="shared" si="3"/>
        <v>-10.299194476409667</v>
      </c>
      <c r="F26" s="167">
        <f t="shared" si="4"/>
        <v>-14.64549685190255</v>
      </c>
      <c r="G26" s="168"/>
      <c r="H26" s="166">
        <f t="shared" si="2"/>
        <v>3.1468088518280952</v>
      </c>
      <c r="I26" s="55"/>
      <c r="J26" s="55"/>
      <c r="K26" s="55"/>
    </row>
    <row r="27" spans="1:11" s="51" customFormat="1" x14ac:dyDescent="0.2">
      <c r="A27" s="141" t="s">
        <v>101</v>
      </c>
      <c r="B27" s="162">
        <f>[77]setembro2001!$D$18</f>
        <v>0.92907692307692291</v>
      </c>
      <c r="C27" s="163">
        <f t="shared" si="0"/>
        <v>122.28987228987228</v>
      </c>
      <c r="D27" s="164">
        <f t="shared" si="1"/>
        <v>-3.159076330981414</v>
      </c>
      <c r="E27" s="164">
        <f t="shared" si="3"/>
        <v>-13.132911392405077</v>
      </c>
      <c r="F27" s="167">
        <f t="shared" si="4"/>
        <v>-12.655481631472387</v>
      </c>
      <c r="G27" s="168"/>
      <c r="H27" s="166">
        <f t="shared" si="2"/>
        <v>3.2494618314290453</v>
      </c>
      <c r="I27" s="55"/>
      <c r="J27" s="55"/>
      <c r="K27" s="55"/>
    </row>
    <row r="28" spans="1:11" s="51" customFormat="1" x14ac:dyDescent="0.2">
      <c r="A28" s="141" t="s">
        <v>102</v>
      </c>
      <c r="B28" s="162">
        <f>[77]outubro2001!$D$18</f>
        <v>0.92907692307692291</v>
      </c>
      <c r="C28" s="163">
        <f t="shared" si="0"/>
        <v>122.28987228987228</v>
      </c>
      <c r="D28" s="164">
        <f t="shared" si="1"/>
        <v>0</v>
      </c>
      <c r="E28" s="164">
        <f t="shared" si="3"/>
        <v>-13.132911392405077</v>
      </c>
      <c r="F28" s="167">
        <f t="shared" si="4"/>
        <v>-13.132911392405077</v>
      </c>
      <c r="G28" s="168"/>
      <c r="H28" s="166">
        <f t="shared" si="2"/>
        <v>3.2494618314290453</v>
      </c>
      <c r="I28" s="55"/>
      <c r="J28" s="55"/>
      <c r="K28" s="55"/>
    </row>
    <row r="29" spans="1:11" s="51" customFormat="1" x14ac:dyDescent="0.2">
      <c r="A29" s="141" t="s">
        <v>103</v>
      </c>
      <c r="B29" s="162">
        <f>[77]Novembro2001!$D$18</f>
        <v>0.94176923076923069</v>
      </c>
      <c r="C29" s="163">
        <f t="shared" si="0"/>
        <v>123.96049896049897</v>
      </c>
      <c r="D29" s="164">
        <f t="shared" si="1"/>
        <v>1.3661202185792476</v>
      </c>
      <c r="E29" s="164">
        <f t="shared" si="3"/>
        <v>-11.946202531645579</v>
      </c>
      <c r="F29" s="167">
        <f t="shared" si="4"/>
        <v>-12.898406374501992</v>
      </c>
      <c r="G29" s="168"/>
      <c r="H29" s="166">
        <f t="shared" si="2"/>
        <v>3.2056685452911871</v>
      </c>
      <c r="I29" s="59"/>
      <c r="J29" s="55"/>
      <c r="K29" s="55"/>
    </row>
    <row r="30" spans="1:11" s="51" customFormat="1" x14ac:dyDescent="0.2">
      <c r="A30" s="141" t="s">
        <v>104</v>
      </c>
      <c r="B30" s="162">
        <f>[77]Dezembro2001!$D$18</f>
        <v>0.94176923076923069</v>
      </c>
      <c r="C30" s="163">
        <f t="shared" si="0"/>
        <v>123.96049896049897</v>
      </c>
      <c r="D30" s="164">
        <f t="shared" si="1"/>
        <v>0</v>
      </c>
      <c r="E30" s="164">
        <f t="shared" si="3"/>
        <v>-11.946202531645579</v>
      </c>
      <c r="F30" s="167">
        <f t="shared" si="4"/>
        <v>-11.946202531645579</v>
      </c>
      <c r="G30" s="168"/>
      <c r="H30" s="166">
        <f t="shared" si="2"/>
        <v>3.2056685452911871</v>
      </c>
      <c r="I30" s="55"/>
      <c r="J30" s="55"/>
      <c r="K30" s="55"/>
    </row>
    <row r="31" spans="1:11" s="51" customFormat="1" x14ac:dyDescent="0.2">
      <c r="A31" s="141" t="s">
        <v>105</v>
      </c>
      <c r="B31" s="162">
        <f>[78]Jan02!$D$18</f>
        <v>0.92420000000000013</v>
      </c>
      <c r="C31" s="163">
        <f t="shared" si="0"/>
        <v>121.64794664794668</v>
      </c>
      <c r="D31" s="164">
        <f t="shared" si="1"/>
        <v>-1.8655558278199535</v>
      </c>
      <c r="E31" s="164">
        <f>100*(C31/$C$30-1)</f>
        <v>-1.8655558278199535</v>
      </c>
      <c r="F31" s="167">
        <f t="shared" si="4"/>
        <v>-13.747083527764815</v>
      </c>
      <c r="G31" s="170">
        <f>100*(C31/C7-1)</f>
        <v>21.647946647946693</v>
      </c>
      <c r="H31" s="166">
        <f t="shared" si="2"/>
        <v>3.2666089590997616</v>
      </c>
      <c r="I31" s="55"/>
      <c r="J31" s="55"/>
      <c r="K31" s="55"/>
    </row>
    <row r="32" spans="1:11" s="51" customFormat="1" x14ac:dyDescent="0.2">
      <c r="A32" s="141" t="s">
        <v>106</v>
      </c>
      <c r="B32" s="162">
        <f>[78]Fevereiro02!$D$18</f>
        <v>0.92420000000000013</v>
      </c>
      <c r="C32" s="163">
        <f t="shared" si="0"/>
        <v>121.64794664794668</v>
      </c>
      <c r="D32" s="164">
        <f t="shared" si="1"/>
        <v>0</v>
      </c>
      <c r="E32" s="164">
        <f t="shared" ref="E32:E42" si="5">100*(C32/$C$30-1)</f>
        <v>-1.8655558278199535</v>
      </c>
      <c r="F32" s="167">
        <f t="shared" si="4"/>
        <v>-7.8988118052893519</v>
      </c>
      <c r="G32" s="170">
        <f t="shared" ref="G32:G95" si="6">100*(C32/C8-1)</f>
        <v>21.920759861043958</v>
      </c>
      <c r="H32" s="166">
        <f t="shared" si="2"/>
        <v>3.2666089590997616</v>
      </c>
      <c r="I32" s="55"/>
      <c r="J32" s="55"/>
      <c r="K32" s="55"/>
    </row>
    <row r="33" spans="1:11" s="51" customFormat="1" x14ac:dyDescent="0.2">
      <c r="A33" s="141" t="s">
        <v>107</v>
      </c>
      <c r="B33" s="162">
        <f>[78]Março02!$D$17</f>
        <v>0.90850000000000009</v>
      </c>
      <c r="C33" s="163">
        <f t="shared" si="0"/>
        <v>119.5814320814321</v>
      </c>
      <c r="D33" s="164">
        <f t="shared" si="1"/>
        <v>-1.6987665007574204</v>
      </c>
      <c r="E33" s="164">
        <f t="shared" si="5"/>
        <v>-3.5326308911214466</v>
      </c>
      <c r="F33" s="167">
        <f t="shared" si="4"/>
        <v>-15.514569125852439</v>
      </c>
      <c r="G33" s="170">
        <f t="shared" si="6"/>
        <v>20.214361326746655</v>
      </c>
      <c r="H33" s="166">
        <f t="shared" si="2"/>
        <v>3.3230599889928452</v>
      </c>
      <c r="I33" s="55"/>
      <c r="J33" s="55"/>
      <c r="K33" s="55"/>
    </row>
    <row r="34" spans="1:11" s="51" customFormat="1" x14ac:dyDescent="0.2">
      <c r="A34" s="141" t="s">
        <v>108</v>
      </c>
      <c r="B34" s="162">
        <f>[78]Abril02!$D$17</f>
        <v>0.90850000000000009</v>
      </c>
      <c r="C34" s="163">
        <f t="shared" si="0"/>
        <v>119.5814320814321</v>
      </c>
      <c r="D34" s="164">
        <f t="shared" si="1"/>
        <v>0</v>
      </c>
      <c r="E34" s="164">
        <f t="shared" si="5"/>
        <v>-3.5326308911214466</v>
      </c>
      <c r="F34" s="167">
        <f t="shared" si="4"/>
        <v>-14.621348578588766</v>
      </c>
      <c r="G34" s="170">
        <f t="shared" si="6"/>
        <v>20.214361326746655</v>
      </c>
      <c r="H34" s="166">
        <f t="shared" si="2"/>
        <v>3.3230599889928452</v>
      </c>
      <c r="I34" s="55"/>
      <c r="J34" s="55"/>
      <c r="K34" s="55"/>
    </row>
    <row r="35" spans="1:11" s="51" customFormat="1" x14ac:dyDescent="0.2">
      <c r="A35" s="141" t="s">
        <v>109</v>
      </c>
      <c r="B35" s="162">
        <f>[78]Maio02!$D$19</f>
        <v>0.90984615384615375</v>
      </c>
      <c r="C35" s="163">
        <f t="shared" si="0"/>
        <v>119.75861975861976</v>
      </c>
      <c r="D35" s="164">
        <f t="shared" si="1"/>
        <v>0.14817323568010465</v>
      </c>
      <c r="E35" s="164">
        <f t="shared" si="5"/>
        <v>-3.3896920689373555</v>
      </c>
      <c r="F35" s="167">
        <f t="shared" si="4"/>
        <v>-9.3292449214258397</v>
      </c>
      <c r="G35" s="170">
        <f t="shared" si="6"/>
        <v>24.013560269807432</v>
      </c>
      <c r="H35" s="166">
        <f t="shared" si="2"/>
        <v>3.3181433885694966</v>
      </c>
      <c r="I35" s="55"/>
      <c r="J35" s="55"/>
      <c r="K35" s="55"/>
    </row>
    <row r="36" spans="1:11" s="51" customFormat="1" x14ac:dyDescent="0.2">
      <c r="A36" s="141" t="s">
        <v>110</v>
      </c>
      <c r="B36" s="162">
        <f>[78]Junho02!$D$19</f>
        <v>0.90984615384615375</v>
      </c>
      <c r="C36" s="163">
        <f t="shared" si="0"/>
        <v>119.75861975861976</v>
      </c>
      <c r="D36" s="164">
        <f t="shared" si="1"/>
        <v>0</v>
      </c>
      <c r="E36" s="164">
        <f t="shared" si="5"/>
        <v>-3.3896920689373555</v>
      </c>
      <c r="F36" s="167">
        <f t="shared" si="4"/>
        <v>-10.025863380495981</v>
      </c>
      <c r="G36" s="170">
        <f t="shared" si="6"/>
        <v>25.047574745210778</v>
      </c>
      <c r="H36" s="166">
        <f t="shared" si="2"/>
        <v>3.3181433885694966</v>
      </c>
      <c r="I36" s="55"/>
      <c r="J36" s="55"/>
      <c r="K36" s="55"/>
    </row>
    <row r="37" spans="1:11" s="51" customFormat="1" x14ac:dyDescent="0.2">
      <c r="A37" s="141" t="s">
        <v>111</v>
      </c>
      <c r="B37" s="162">
        <f>[78]Julho02!$D$18</f>
        <v>0.82707142857142857</v>
      </c>
      <c r="C37" s="163">
        <f t="shared" si="0"/>
        <v>108.86338564909994</v>
      </c>
      <c r="D37" s="164">
        <f t="shared" si="1"/>
        <v>-9.0976617227885299</v>
      </c>
      <c r="E37" s="164">
        <f t="shared" si="5"/>
        <v>-12.178971073849777</v>
      </c>
      <c r="F37" s="167">
        <f t="shared" si="4"/>
        <v>-13.860530592624809</v>
      </c>
      <c r="G37" s="170">
        <f t="shared" si="6"/>
        <v>-7.7166889414765238</v>
      </c>
      <c r="H37" s="166">
        <f t="shared" si="2"/>
        <v>3.6502288625960793</v>
      </c>
      <c r="I37" s="55"/>
      <c r="J37" s="55"/>
      <c r="K37" s="55"/>
    </row>
    <row r="38" spans="1:11" s="51" customFormat="1" x14ac:dyDescent="0.2">
      <c r="A38" s="141" t="s">
        <v>112</v>
      </c>
      <c r="B38" s="171">
        <f>[78]Agosto02!$D$17</f>
        <v>0.77185714285714291</v>
      </c>
      <c r="C38" s="163">
        <f t="shared" si="0"/>
        <v>101.59579802436947</v>
      </c>
      <c r="D38" s="164">
        <f t="shared" si="1"/>
        <v>-6.6758787460056919</v>
      </c>
      <c r="E38" s="164">
        <f t="shared" si="5"/>
        <v>-18.041796478454152</v>
      </c>
      <c r="F38" s="167">
        <f t="shared" si="4"/>
        <v>-19.546641620086124</v>
      </c>
      <c r="G38" s="170">
        <f t="shared" si="6"/>
        <v>-31.32943568886629</v>
      </c>
      <c r="H38" s="166">
        <f t="shared" si="2"/>
        <v>3.9113455487692024</v>
      </c>
    </row>
    <row r="39" spans="1:11" s="51" customFormat="1" x14ac:dyDescent="0.2">
      <c r="A39" s="141" t="s">
        <v>113</v>
      </c>
      <c r="B39" s="171">
        <f>[78]Setembro02!$D$17</f>
        <v>0.81515384615384623</v>
      </c>
      <c r="C39" s="163">
        <f t="shared" si="0"/>
        <v>107.29473229473231</v>
      </c>
      <c r="D39" s="164">
        <f t="shared" si="1"/>
        <v>5.6094192684975619</v>
      </c>
      <c r="E39" s="164">
        <f t="shared" si="5"/>
        <v>-13.444417218002114</v>
      </c>
      <c r="F39" s="167">
        <f t="shared" si="4"/>
        <v>-12.261963901308137</v>
      </c>
      <c r="G39" s="170">
        <f t="shared" si="6"/>
        <v>-23.365634943592706</v>
      </c>
      <c r="H39" s="166">
        <f t="shared" si="2"/>
        <v>3.7035953571765594</v>
      </c>
    </row>
    <row r="40" spans="1:11" s="51" customFormat="1" x14ac:dyDescent="0.2">
      <c r="A40" s="141" t="s">
        <v>114</v>
      </c>
      <c r="B40" s="172">
        <f>[78]Outubro02!$D$17</f>
        <v>0.89115384615384619</v>
      </c>
      <c r="C40" s="163">
        <f t="shared" si="0"/>
        <v>117.2982422982423</v>
      </c>
      <c r="D40" s="164">
        <f t="shared" si="1"/>
        <v>9.3233934132301641</v>
      </c>
      <c r="E40" s="164">
        <f t="shared" si="5"/>
        <v>-5.3744997141223605</v>
      </c>
      <c r="F40" s="167">
        <f t="shared" si="4"/>
        <v>-4.0818016227852194</v>
      </c>
      <c r="G40" s="170">
        <f t="shared" si="6"/>
        <v>-16.678653624856167</v>
      </c>
      <c r="H40" s="166">
        <f t="shared" si="2"/>
        <v>3.3877427708243419</v>
      </c>
    </row>
    <row r="41" spans="1:11" s="51" customFormat="1" x14ac:dyDescent="0.2">
      <c r="A41" s="141" t="s">
        <v>115</v>
      </c>
      <c r="B41" s="172">
        <f>[78]Novembro02!$D$17</f>
        <v>1.2211538461538463</v>
      </c>
      <c r="C41" s="163">
        <f t="shared" si="0"/>
        <v>160.73453573453577</v>
      </c>
      <c r="D41" s="164">
        <f t="shared" si="1"/>
        <v>37.030643072939149</v>
      </c>
      <c r="E41" s="164">
        <f t="shared" si="5"/>
        <v>29.665931552724032</v>
      </c>
      <c r="F41" s="167">
        <f t="shared" si="4"/>
        <v>29.665931552724032</v>
      </c>
      <c r="G41" s="170">
        <f t="shared" si="6"/>
        <v>12.941092771770069</v>
      </c>
      <c r="H41" s="166">
        <f t="shared" si="2"/>
        <v>2.472251968503937</v>
      </c>
    </row>
    <row r="42" spans="1:11" s="51" customFormat="1" x14ac:dyDescent="0.2">
      <c r="A42" s="141" t="s">
        <v>116</v>
      </c>
      <c r="B42" s="172">
        <f>[78]Dezembro02!$D$17</f>
        <v>1.2283571428571427</v>
      </c>
      <c r="C42" s="163">
        <f t="shared" si="0"/>
        <v>161.68267061124203</v>
      </c>
      <c r="D42" s="164">
        <f t="shared" si="1"/>
        <v>0.58987626546680438</v>
      </c>
      <c r="E42" s="164">
        <f t="shared" si="5"/>
        <v>30.430800107349953</v>
      </c>
      <c r="F42" s="167">
        <f t="shared" si="4"/>
        <v>30.430800107349953</v>
      </c>
      <c r="G42" s="170">
        <f t="shared" si="6"/>
        <v>14.849272562880135</v>
      </c>
      <c r="H42" s="166">
        <f t="shared" si="2"/>
        <v>2.4577542594638602</v>
      </c>
    </row>
    <row r="43" spans="1:11" s="51" customFormat="1" x14ac:dyDescent="0.2">
      <c r="A43" s="141" t="s">
        <v>117</v>
      </c>
      <c r="B43" s="172">
        <f>[79]Jan03!$D$17</f>
        <v>1.3698571428571431</v>
      </c>
      <c r="C43" s="163">
        <f t="shared" si="0"/>
        <v>180.30762673619824</v>
      </c>
      <c r="D43" s="164">
        <f t="shared" si="1"/>
        <v>11.519451067046615</v>
      </c>
      <c r="E43" s="164">
        <f>100*(C43/$C$42-1)</f>
        <v>11.519451067046639</v>
      </c>
      <c r="F43" s="167">
        <f t="shared" si="4"/>
        <v>48.220855102482489</v>
      </c>
      <c r="G43" s="170">
        <f t="shared" si="6"/>
        <v>27.844810345976967</v>
      </c>
      <c r="H43" s="166">
        <f t="shared" si="2"/>
        <v>2.203879445197622</v>
      </c>
    </row>
    <row r="44" spans="1:11" s="51" customFormat="1" x14ac:dyDescent="0.2">
      <c r="A44" s="141" t="s">
        <v>118</v>
      </c>
      <c r="B44" s="171">
        <f>[79]Fev03!$D$17</f>
        <v>1.4362142857142859</v>
      </c>
      <c r="C44" s="163">
        <f t="shared" si="0"/>
        <v>189.04189439903732</v>
      </c>
      <c r="D44" s="164">
        <f t="shared" si="1"/>
        <v>4.8440921889665089</v>
      </c>
      <c r="E44" s="164">
        <f t="shared" ref="E44:E54" si="7">100*(C44/$C$42-1)</f>
        <v>16.921556085363765</v>
      </c>
      <c r="F44" s="167">
        <f t="shared" si="4"/>
        <v>55.400809966921202</v>
      </c>
      <c r="G44" s="170">
        <f t="shared" si="6"/>
        <v>43.12599244373876</v>
      </c>
      <c r="H44" s="166">
        <f t="shared" si="2"/>
        <v>2.1020540110409307</v>
      </c>
    </row>
    <row r="45" spans="1:11" s="51" customFormat="1" x14ac:dyDescent="0.2">
      <c r="A45" s="141" t="s">
        <v>119</v>
      </c>
      <c r="B45" s="171">
        <f>[79]Março03!$D$17</f>
        <v>1.4590000000000005</v>
      </c>
      <c r="C45" s="163">
        <f t="shared" si="0"/>
        <v>192.04106704106715</v>
      </c>
      <c r="D45" s="164">
        <f t="shared" si="1"/>
        <v>1.5865121599443199</v>
      </c>
      <c r="E45" s="164">
        <f t="shared" si="7"/>
        <v>18.776530790254185</v>
      </c>
      <c r="F45" s="167">
        <f t="shared" si="4"/>
        <v>60.594386351128307</v>
      </c>
      <c r="G45" s="170">
        <f t="shared" si="6"/>
        <v>35.678859268443965</v>
      </c>
      <c r="H45" s="166">
        <f t="shared" si="2"/>
        <v>2.0692254969156951</v>
      </c>
    </row>
    <row r="46" spans="1:11" s="51" customFormat="1" x14ac:dyDescent="0.2">
      <c r="A46" s="141" t="s">
        <v>120</v>
      </c>
      <c r="B46" s="171">
        <f>[79]Abril03!$D$18</f>
        <v>1.4490000000000003</v>
      </c>
      <c r="C46" s="163">
        <f t="shared" si="0"/>
        <v>190.72481572481578</v>
      </c>
      <c r="D46" s="164">
        <f t="shared" si="1"/>
        <v>-0.68540095956135527</v>
      </c>
      <c r="E46" s="164">
        <f t="shared" si="7"/>
        <v>17.962435308484071</v>
      </c>
      <c r="F46" s="167">
        <f t="shared" si="4"/>
        <v>59.493670886075975</v>
      </c>
      <c r="G46" s="170">
        <f t="shared" si="6"/>
        <v>36.173545305035645</v>
      </c>
      <c r="H46" s="166">
        <f t="shared" si="2"/>
        <v>2.0835058661145616</v>
      </c>
    </row>
    <row r="47" spans="1:11" s="51" customFormat="1" x14ac:dyDescent="0.2">
      <c r="A47" s="141" t="s">
        <v>121</v>
      </c>
      <c r="B47" s="171">
        <f>[79]Maio03!$D$18</f>
        <v>1.3775714285714287</v>
      </c>
      <c r="C47" s="163">
        <f t="shared" si="0"/>
        <v>181.32302060873494</v>
      </c>
      <c r="D47" s="164">
        <f t="shared" si="1"/>
        <v>-4.9295080350981069</v>
      </c>
      <c r="E47" s="164">
        <f t="shared" si="7"/>
        <v>12.14746758155496</v>
      </c>
      <c r="F47" s="167">
        <f t="shared" si="4"/>
        <v>51.40707280544958</v>
      </c>
      <c r="G47" s="170">
        <f t="shared" si="6"/>
        <v>37.281936155067655</v>
      </c>
      <c r="H47" s="166">
        <f t="shared" si="2"/>
        <v>2.1915379031421756</v>
      </c>
    </row>
    <row r="48" spans="1:11" s="51" customFormat="1" x14ac:dyDescent="0.2">
      <c r="A48" s="141" t="s">
        <v>122</v>
      </c>
      <c r="B48" s="171">
        <f>[79]Junho03!$D$18</f>
        <v>1.0990000000000002</v>
      </c>
      <c r="C48" s="163">
        <f t="shared" si="0"/>
        <v>144.65601965601971</v>
      </c>
      <c r="D48" s="164">
        <f t="shared" si="1"/>
        <v>-20.221922638183131</v>
      </c>
      <c r="E48" s="164">
        <f t="shared" si="7"/>
        <v>-10.530906553468588</v>
      </c>
      <c r="F48" s="167">
        <f t="shared" si="4"/>
        <v>20.789651673993959</v>
      </c>
      <c r="G48" s="170">
        <f t="shared" si="6"/>
        <v>8.6794462193823474</v>
      </c>
      <c r="H48" s="166">
        <f t="shared" si="2"/>
        <v>2.7470427661510461</v>
      </c>
    </row>
    <row r="49" spans="1:8" s="51" customFormat="1" x14ac:dyDescent="0.2">
      <c r="A49" s="141" t="s">
        <v>123</v>
      </c>
      <c r="B49" s="171">
        <f>[79]Julho03!$D$18</f>
        <v>1.0089999999999999</v>
      </c>
      <c r="C49" s="163">
        <f t="shared" si="0"/>
        <v>132.8097578097578</v>
      </c>
      <c r="D49" s="164">
        <f t="shared" si="1"/>
        <v>-8.1892629663330556</v>
      </c>
      <c r="E49" s="164">
        <f t="shared" si="7"/>
        <v>-17.857765889399314</v>
      </c>
      <c r="F49" s="167">
        <f t="shared" si="4"/>
        <v>21.996718196735454</v>
      </c>
      <c r="G49" s="170">
        <f t="shared" si="6"/>
        <v>5.0873257490786639</v>
      </c>
      <c r="H49" s="166">
        <f t="shared" si="2"/>
        <v>2.9920713577799805</v>
      </c>
    </row>
    <row r="50" spans="1:8" s="51" customFormat="1" x14ac:dyDescent="0.2">
      <c r="A50" s="141" t="s">
        <v>124</v>
      </c>
      <c r="B50" s="171">
        <f>[79]Agosto03!$D$18</f>
        <v>1.0426250000000001</v>
      </c>
      <c r="C50" s="163">
        <f t="shared" si="0"/>
        <v>137.23565286065289</v>
      </c>
      <c r="D50" s="164">
        <f>100*(B50/B49-1)</f>
        <v>3.3325074331020943</v>
      </c>
      <c r="E50" s="164">
        <f t="shared" si="7"/>
        <v>-15.120369831947411</v>
      </c>
      <c r="F50" s="167">
        <f t="shared" si="4"/>
        <v>35.080048121414031</v>
      </c>
      <c r="G50" s="170">
        <f t="shared" si="6"/>
        <v>8.6764352148813515</v>
      </c>
      <c r="H50" s="166">
        <f t="shared" si="2"/>
        <v>2.8955760700155855</v>
      </c>
    </row>
    <row r="51" spans="1:8" s="51" customFormat="1" x14ac:dyDescent="0.2">
      <c r="A51" s="141" t="s">
        <v>125</v>
      </c>
      <c r="B51" s="171">
        <f>[79]Setembro03!$D$18</f>
        <v>1.0690000000000002</v>
      </c>
      <c r="C51" s="163">
        <f t="shared" si="0"/>
        <v>140.70726570726575</v>
      </c>
      <c r="D51" s="164">
        <f>100*(B51/B50-1)</f>
        <v>2.5296727011149711</v>
      </c>
      <c r="E51" s="164">
        <f t="shared" si="7"/>
        <v>-12.973192998778826</v>
      </c>
      <c r="F51" s="167">
        <f t="shared" si="4"/>
        <v>31.14088893082949</v>
      </c>
      <c r="G51" s="170">
        <f t="shared" si="6"/>
        <v>15.060440470276571</v>
      </c>
      <c r="H51" s="166">
        <f t="shared" si="2"/>
        <v>2.8241347053320855</v>
      </c>
    </row>
    <row r="52" spans="1:8" s="51" customFormat="1" x14ac:dyDescent="0.2">
      <c r="A52" s="141" t="s">
        <v>126</v>
      </c>
      <c r="B52" s="171">
        <f>[79]Outubro03!$D$18</f>
        <v>1.0253125000000001</v>
      </c>
      <c r="C52" s="163">
        <f t="shared" si="0"/>
        <v>134.95689276939279</v>
      </c>
      <c r="D52" s="164">
        <f>100*(B52/B51-1)</f>
        <v>-4.0867633302151596</v>
      </c>
      <c r="E52" s="164">
        <f t="shared" si="7"/>
        <v>-16.529772634761851</v>
      </c>
      <c r="F52" s="167">
        <f t="shared" si="4"/>
        <v>15.054488562796742</v>
      </c>
      <c r="G52" s="170">
        <f t="shared" si="6"/>
        <v>10.358192581553261</v>
      </c>
      <c r="H52" s="166">
        <f t="shared" si="2"/>
        <v>2.944468149954282</v>
      </c>
    </row>
    <row r="53" spans="1:8" s="51" customFormat="1" x14ac:dyDescent="0.2">
      <c r="A53" s="141" t="s">
        <v>127</v>
      </c>
      <c r="B53" s="171">
        <f>[79]Novembro03!$D$18</f>
        <v>0.99906250000000008</v>
      </c>
      <c r="C53" s="163">
        <f t="shared" si="0"/>
        <v>131.50173306423309</v>
      </c>
      <c r="D53" s="164">
        <f t="shared" ref="D53:D101" si="8">100*(B53/B52-1)</f>
        <v>-2.5601950624809522</v>
      </c>
      <c r="E53" s="164">
        <f t="shared" si="7"/>
        <v>-18.6667732744083</v>
      </c>
      <c r="F53" s="167">
        <f t="shared" si="4"/>
        <v>-18.187007874015748</v>
      </c>
      <c r="G53" s="170">
        <f t="shared" si="6"/>
        <v>6.0835783713142355</v>
      </c>
      <c r="H53" s="166">
        <f t="shared" si="2"/>
        <v>3.0218329684078822</v>
      </c>
    </row>
    <row r="54" spans="1:8" s="51" customFormat="1" x14ac:dyDescent="0.2">
      <c r="A54" s="141" t="s">
        <v>128</v>
      </c>
      <c r="B54" s="171">
        <f>[79]Dezembro03!$D$18</f>
        <v>0.99149999999999994</v>
      </c>
      <c r="C54" s="163">
        <f t="shared" si="0"/>
        <v>130.506318006318</v>
      </c>
      <c r="D54" s="164">
        <f t="shared" si="8"/>
        <v>-0.75695964967158469</v>
      </c>
      <c r="E54" s="164">
        <f t="shared" si="7"/>
        <v>-19.282432982496942</v>
      </c>
      <c r="F54" s="167">
        <f t="shared" si="4"/>
        <v>-19.282432982496942</v>
      </c>
      <c r="G54" s="170">
        <f t="shared" si="6"/>
        <v>5.2805684881156445</v>
      </c>
      <c r="H54" s="166">
        <f t="shared" si="2"/>
        <v>3.0448814926878471</v>
      </c>
    </row>
    <row r="55" spans="1:8" s="51" customFormat="1" x14ac:dyDescent="0.2">
      <c r="A55" s="141" t="s">
        <v>129</v>
      </c>
      <c r="B55" s="171">
        <f>[80]Jan04!$D$18</f>
        <v>0.99775000000000003</v>
      </c>
      <c r="C55" s="163">
        <f t="shared" si="0"/>
        <v>131.32897507897511</v>
      </c>
      <c r="D55" s="164">
        <f t="shared" si="8"/>
        <v>0.63035804336863954</v>
      </c>
      <c r="E55" s="164">
        <f>100*(C55/$C$54-1)</f>
        <v>0.63035804336866175</v>
      </c>
      <c r="F55" s="167">
        <f t="shared" si="4"/>
        <v>-27.163937845447926</v>
      </c>
      <c r="G55" s="170">
        <f t="shared" si="6"/>
        <v>7.9582341484527142</v>
      </c>
      <c r="H55" s="166">
        <f t="shared" si="2"/>
        <v>3.0258080681533452</v>
      </c>
    </row>
    <row r="56" spans="1:8" s="51" customFormat="1" x14ac:dyDescent="0.2">
      <c r="A56" s="141" t="s">
        <v>130</v>
      </c>
      <c r="B56" s="171">
        <f>[80]Fev04!$D$18</f>
        <v>0.95462500000000006</v>
      </c>
      <c r="C56" s="163">
        <f t="shared" si="0"/>
        <v>125.65264127764129</v>
      </c>
      <c r="D56" s="164">
        <f t="shared" si="8"/>
        <v>-4.322225006264091</v>
      </c>
      <c r="E56" s="164">
        <f t="shared" ref="E56:E66" si="9">100*(C56/$C$54-1)</f>
        <v>-3.7191124558749178</v>
      </c>
      <c r="F56" s="167">
        <f t="shared" si="4"/>
        <v>-33.531854578007668</v>
      </c>
      <c r="G56" s="170">
        <f t="shared" si="6"/>
        <v>3.2920363557671362</v>
      </c>
      <c r="H56" s="166">
        <f t="shared" si="2"/>
        <v>3.1624983632316352</v>
      </c>
    </row>
    <row r="57" spans="1:8" s="51" customFormat="1" x14ac:dyDescent="0.2">
      <c r="A57" s="141" t="s">
        <v>131</v>
      </c>
      <c r="B57" s="171">
        <f>[80]Março04!$D$18</f>
        <v>0.82712500000000022</v>
      </c>
      <c r="C57" s="163">
        <f t="shared" si="0"/>
        <v>108.87043699543703</v>
      </c>
      <c r="D57" s="164">
        <f t="shared" si="8"/>
        <v>-13.356029854654949</v>
      </c>
      <c r="E57" s="164">
        <f t="shared" si="9"/>
        <v>-16.578416540595022</v>
      </c>
      <c r="F57" s="167">
        <f t="shared" si="4"/>
        <v>-43.308773132282397</v>
      </c>
      <c r="G57" s="170">
        <f t="shared" si="6"/>
        <v>-8.9570720968629391</v>
      </c>
      <c r="H57" s="166">
        <f t="shared" si="2"/>
        <v>3.6499924437056062</v>
      </c>
    </row>
    <row r="58" spans="1:8" s="51" customFormat="1" x14ac:dyDescent="0.2">
      <c r="A58" s="141" t="s">
        <v>132</v>
      </c>
      <c r="B58" s="171">
        <f>[80]Abril04!$D$18</f>
        <v>0.78525</v>
      </c>
      <c r="C58" s="163">
        <f t="shared" si="0"/>
        <v>103.35863460863463</v>
      </c>
      <c r="D58" s="164">
        <f t="shared" si="8"/>
        <v>-5.0627172434638323</v>
      </c>
      <c r="E58" s="164">
        <f t="shared" si="9"/>
        <v>-20.801815431164883</v>
      </c>
      <c r="F58" s="167">
        <f t="shared" si="4"/>
        <v>-45.807453416149066</v>
      </c>
      <c r="G58" s="170">
        <f t="shared" si="6"/>
        <v>-13.566318106769392</v>
      </c>
      <c r="H58" s="166">
        <f t="shared" si="2"/>
        <v>3.8446354664119711</v>
      </c>
    </row>
    <row r="59" spans="1:8" s="51" customFormat="1" x14ac:dyDescent="0.2">
      <c r="A59" s="141" t="s">
        <v>133</v>
      </c>
      <c r="B59" s="171">
        <f>[80]Maio04!$D$18</f>
        <v>0.80899999999999983</v>
      </c>
      <c r="C59" s="163">
        <f t="shared" si="0"/>
        <v>106.48473148473147</v>
      </c>
      <c r="D59" s="164">
        <f t="shared" si="8"/>
        <v>3.024514485832519</v>
      </c>
      <c r="E59" s="164">
        <f t="shared" si="9"/>
        <v>-18.406454866364097</v>
      </c>
      <c r="F59" s="167">
        <f t="shared" si="4"/>
        <v>-41.273462615368686</v>
      </c>
      <c r="G59" s="170">
        <f t="shared" si="6"/>
        <v>-11.083868785931706</v>
      </c>
      <c r="H59" s="166">
        <f t="shared" si="2"/>
        <v>3.7317676143386906</v>
      </c>
    </row>
    <row r="60" spans="1:8" s="51" customFormat="1" x14ac:dyDescent="0.2">
      <c r="A60" s="141" t="s">
        <v>134</v>
      </c>
      <c r="B60" s="171">
        <f>[80]Junho04!$D$18</f>
        <v>0.86899999999999999</v>
      </c>
      <c r="C60" s="163">
        <f t="shared" si="0"/>
        <v>114.3822393822394</v>
      </c>
      <c r="D60" s="164">
        <f t="shared" si="8"/>
        <v>7.4165636588380934</v>
      </c>
      <c r="E60" s="164">
        <f t="shared" si="9"/>
        <v>-12.355017650025191</v>
      </c>
      <c r="F60" s="167">
        <f t="shared" si="4"/>
        <v>-20.928116469517754</v>
      </c>
      <c r="G60" s="170">
        <f t="shared" si="6"/>
        <v>-4.4893473114642983</v>
      </c>
      <c r="H60" s="166">
        <f t="shared" si="2"/>
        <v>3.4741081703107022</v>
      </c>
    </row>
    <row r="61" spans="1:8" s="51" customFormat="1" x14ac:dyDescent="0.2">
      <c r="A61" s="141" t="s">
        <v>136</v>
      </c>
      <c r="B61" s="171">
        <f>[80]Julho04!$D$18</f>
        <v>0.83899999999999986</v>
      </c>
      <c r="C61" s="163">
        <f t="shared" si="0"/>
        <v>110.43348543348543</v>
      </c>
      <c r="D61" s="164">
        <f t="shared" si="8"/>
        <v>-3.4522439585730869</v>
      </c>
      <c r="E61" s="164">
        <f t="shared" si="9"/>
        <v>-15.380736258194649</v>
      </c>
      <c r="F61" s="167">
        <f t="shared" si="4"/>
        <v>-16.848364717542118</v>
      </c>
      <c r="G61" s="170">
        <f t="shared" si="6"/>
        <v>1.4422661715173923</v>
      </c>
      <c r="H61" s="166">
        <f t="shared" si="2"/>
        <v>3.5983313468414786</v>
      </c>
    </row>
    <row r="62" spans="1:8" s="51" customFormat="1" x14ac:dyDescent="0.2">
      <c r="A62" s="141" t="s">
        <v>137</v>
      </c>
      <c r="B62" s="171">
        <f>[80]Agosto04!$D$18</f>
        <v>0.87837500000000002</v>
      </c>
      <c r="C62" s="163">
        <f t="shared" si="0"/>
        <v>115.61622499122501</v>
      </c>
      <c r="D62" s="164">
        <f t="shared" si="8"/>
        <v>4.6930870083432774</v>
      </c>
      <c r="E62" s="164">
        <f t="shared" si="9"/>
        <v>-11.409480584972243</v>
      </c>
      <c r="F62" s="167">
        <f t="shared" si="4"/>
        <v>-15.753506773768134</v>
      </c>
      <c r="G62" s="170">
        <f t="shared" si="6"/>
        <v>13.800203590597814</v>
      </c>
      <c r="H62" s="166">
        <f t="shared" si="2"/>
        <v>3.4370286039561693</v>
      </c>
    </row>
    <row r="63" spans="1:8" s="51" customFormat="1" x14ac:dyDescent="0.2">
      <c r="A63" s="141" t="s">
        <v>138</v>
      </c>
      <c r="B63" s="171">
        <f>[80]Setembro04!$D$18</f>
        <v>0.9421250000000001</v>
      </c>
      <c r="C63" s="163">
        <f t="shared" si="0"/>
        <v>124.00732713232715</v>
      </c>
      <c r="D63" s="164">
        <f t="shared" si="8"/>
        <v>7.257720222000863</v>
      </c>
      <c r="E63" s="164">
        <f t="shared" si="9"/>
        <v>-4.9798285426121858</v>
      </c>
      <c r="F63" s="167">
        <f t="shared" si="4"/>
        <v>-11.868568755846598</v>
      </c>
      <c r="G63" s="170">
        <f t="shared" si="6"/>
        <v>15.576342361045569</v>
      </c>
      <c r="H63" s="166">
        <f t="shared" si="2"/>
        <v>3.204458007164654</v>
      </c>
    </row>
    <row r="64" spans="1:8" s="51" customFormat="1" x14ac:dyDescent="0.2">
      <c r="A64" s="141" t="s">
        <v>139</v>
      </c>
      <c r="B64" s="171">
        <f>[80]Outubro04!$D$18</f>
        <v>0.95899999999999985</v>
      </c>
      <c r="C64" s="163">
        <f t="shared" si="0"/>
        <v>126.22850122850123</v>
      </c>
      <c r="D64" s="164">
        <f t="shared" si="8"/>
        <v>1.7911635929414693</v>
      </c>
      <c r="E64" s="164">
        <f t="shared" si="9"/>
        <v>-3.2778618255168812</v>
      </c>
      <c r="F64" s="167">
        <f t="shared" si="4"/>
        <v>-6.46754038402928</v>
      </c>
      <c r="G64" s="170">
        <f t="shared" si="6"/>
        <v>7.6132930513595154</v>
      </c>
      <c r="H64" s="166">
        <f t="shared" si="2"/>
        <v>3.1480709071949953</v>
      </c>
    </row>
    <row r="65" spans="1:8" s="51" customFormat="1" x14ac:dyDescent="0.2">
      <c r="A65" s="141" t="s">
        <v>140</v>
      </c>
      <c r="B65" s="171">
        <f>[80]Novembro04!$D$18</f>
        <v>1.0089999999999999</v>
      </c>
      <c r="C65" s="163">
        <f t="shared" si="0"/>
        <v>132.8097578097578</v>
      </c>
      <c r="D65" s="164">
        <f t="shared" si="8"/>
        <v>5.2137643378519449</v>
      </c>
      <c r="E65" s="164">
        <f t="shared" si="9"/>
        <v>1.7650025214321685</v>
      </c>
      <c r="F65" s="167">
        <f t="shared" si="4"/>
        <v>0.99468251485765879</v>
      </c>
      <c r="G65" s="170">
        <f t="shared" si="6"/>
        <v>-17.373228346456713</v>
      </c>
      <c r="H65" s="166">
        <f t="shared" si="2"/>
        <v>2.9920713577799805</v>
      </c>
    </row>
    <row r="66" spans="1:8" s="51" customFormat="1" x14ac:dyDescent="0.2">
      <c r="A66" s="141" t="s">
        <v>141</v>
      </c>
      <c r="B66" s="171">
        <f>[80]Dezembro04!$D$18</f>
        <v>1.2858750000000001</v>
      </c>
      <c r="C66" s="163">
        <f t="shared" si="0"/>
        <v>169.25346612846616</v>
      </c>
      <c r="D66" s="164">
        <f t="shared" si="8"/>
        <v>27.44053518334988</v>
      </c>
      <c r="E66" s="164">
        <f t="shared" si="9"/>
        <v>29.689863842662657</v>
      </c>
      <c r="F66" s="167">
        <f t="shared" si="4"/>
        <v>29.689863842662657</v>
      </c>
      <c r="G66" s="170">
        <f t="shared" si="6"/>
        <v>4.682502762109686</v>
      </c>
      <c r="H66" s="166">
        <f t="shared" si="2"/>
        <v>2.3478176339068728</v>
      </c>
    </row>
    <row r="67" spans="1:8" s="51" customFormat="1" x14ac:dyDescent="0.2">
      <c r="A67" s="141" t="s">
        <v>142</v>
      </c>
      <c r="B67" s="171">
        <f>[81]Janeiro!$D$18</f>
        <v>1.2990000000000002</v>
      </c>
      <c r="C67" s="163">
        <f t="shared" si="0"/>
        <v>170.98104598104601</v>
      </c>
      <c r="D67" s="164">
        <f t="shared" si="8"/>
        <v>1.0207057451151913</v>
      </c>
      <c r="E67" s="164">
        <f>100*(C67/$C$66-1)</f>
        <v>1.0207057451151913</v>
      </c>
      <c r="F67" s="167">
        <f t="shared" si="4"/>
        <v>30.192934101728873</v>
      </c>
      <c r="G67" s="170">
        <f t="shared" si="6"/>
        <v>-5.1725935968297225</v>
      </c>
      <c r="H67" s="166">
        <f t="shared" si="2"/>
        <v>2.3240954580446496</v>
      </c>
    </row>
    <row r="68" spans="1:8" s="51" customFormat="1" x14ac:dyDescent="0.2">
      <c r="A68" s="141" t="s">
        <v>143</v>
      </c>
      <c r="B68" s="171">
        <f>[81]Fevereiro!$D$18</f>
        <v>1.3108749999999998</v>
      </c>
      <c r="C68" s="163">
        <f t="shared" si="0"/>
        <v>172.54409441909439</v>
      </c>
      <c r="D68" s="164">
        <f t="shared" si="8"/>
        <v>0.91416474210928023</v>
      </c>
      <c r="E68" s="164">
        <f t="shared" ref="E68:E78" si="10">100*(C68/$C$66-1)</f>
        <v>1.944201419267011</v>
      </c>
      <c r="F68" s="167">
        <f t="shared" si="4"/>
        <v>37.318318711535902</v>
      </c>
      <c r="G68" s="170">
        <f t="shared" si="6"/>
        <v>-8.7270602277814131</v>
      </c>
      <c r="H68" s="166">
        <f t="shared" si="2"/>
        <v>2.3030418613521508</v>
      </c>
    </row>
    <row r="69" spans="1:8" s="51" customFormat="1" x14ac:dyDescent="0.2">
      <c r="A69" s="141" t="s">
        <v>144</v>
      </c>
      <c r="B69" s="171">
        <f>[81]Março!$D$18</f>
        <v>1.319</v>
      </c>
      <c r="C69" s="163">
        <f t="shared" si="0"/>
        <v>173.61354861354863</v>
      </c>
      <c r="D69" s="164">
        <f t="shared" si="8"/>
        <v>0.619815009058855</v>
      </c>
      <c r="E69" s="164">
        <f t="shared" si="10"/>
        <v>2.5760668805288045</v>
      </c>
      <c r="F69" s="167">
        <f t="shared" si="4"/>
        <v>59.468036874716603</v>
      </c>
      <c r="G69" s="170">
        <f t="shared" si="6"/>
        <v>-9.5956134338588512</v>
      </c>
      <c r="H69" s="166">
        <f t="shared" si="2"/>
        <v>2.288855193328279</v>
      </c>
    </row>
    <row r="70" spans="1:8" s="51" customFormat="1" x14ac:dyDescent="0.2">
      <c r="A70" s="141" t="s">
        <v>145</v>
      </c>
      <c r="B70" s="171">
        <f>[81]Abril!$D$18</f>
        <v>1.29775</v>
      </c>
      <c r="C70" s="163">
        <f t="shared" si="0"/>
        <v>170.8165145665146</v>
      </c>
      <c r="D70" s="164">
        <f t="shared" si="8"/>
        <v>-1.6110689916603471</v>
      </c>
      <c r="E70" s="164">
        <f t="shared" si="10"/>
        <v>0.92349567415184186</v>
      </c>
      <c r="F70" s="167">
        <f t="shared" si="4"/>
        <v>65.265838904807367</v>
      </c>
      <c r="G70" s="170">
        <f t="shared" si="6"/>
        <v>-10.438233264320228</v>
      </c>
      <c r="H70" s="166">
        <f t="shared" si="2"/>
        <v>2.3263340396840686</v>
      </c>
    </row>
    <row r="71" spans="1:8" s="51" customFormat="1" x14ac:dyDescent="0.2">
      <c r="A71" s="141" t="s">
        <v>146</v>
      </c>
      <c r="B71" s="171">
        <f>[81]Maio!$D$18</f>
        <v>1.2989999999999999</v>
      </c>
      <c r="C71" s="163">
        <f t="shared" si="0"/>
        <v>170.98104598104601</v>
      </c>
      <c r="D71" s="164">
        <f t="shared" si="8"/>
        <v>9.6320554806395009E-2</v>
      </c>
      <c r="E71" s="164">
        <f t="shared" si="10"/>
        <v>1.0207057451151913</v>
      </c>
      <c r="F71" s="167">
        <f t="shared" si="4"/>
        <v>60.568603213844298</v>
      </c>
      <c r="G71" s="170">
        <f t="shared" si="6"/>
        <v>-5.7036192056414077</v>
      </c>
      <c r="H71" s="166">
        <f t="shared" si="2"/>
        <v>2.32409545804465</v>
      </c>
    </row>
    <row r="72" spans="1:8" s="51" customFormat="1" x14ac:dyDescent="0.2">
      <c r="A72" s="141" t="s">
        <v>148</v>
      </c>
      <c r="B72" s="171">
        <f>[81]Junho!$D$18</f>
        <v>1.2789999999999997</v>
      </c>
      <c r="C72" s="163">
        <f t="shared" si="0"/>
        <v>168.3485433485433</v>
      </c>
      <c r="D72" s="164">
        <f t="shared" si="8"/>
        <v>-1.5396458814472824</v>
      </c>
      <c r="E72" s="164">
        <f t="shared" si="10"/>
        <v>-0.53465539029847742</v>
      </c>
      <c r="F72" s="167">
        <f t="shared" si="4"/>
        <v>47.180667433831914</v>
      </c>
      <c r="G72" s="170">
        <f t="shared" si="6"/>
        <v>16.378525932665976</v>
      </c>
      <c r="H72" s="166">
        <f t="shared" si="2"/>
        <v>2.3604378420641132</v>
      </c>
    </row>
    <row r="73" spans="1:8" s="51" customFormat="1" x14ac:dyDescent="0.2">
      <c r="A73" s="141" t="s">
        <v>149</v>
      </c>
      <c r="B73" s="171">
        <f>[81]Julho!$D$18</f>
        <v>1.2533749999999999</v>
      </c>
      <c r="C73" s="163">
        <f t="shared" si="0"/>
        <v>164.97564935064935</v>
      </c>
      <c r="D73" s="164">
        <f t="shared" si="8"/>
        <v>-2.0035183737294626</v>
      </c>
      <c r="E73" s="164">
        <f t="shared" si="10"/>
        <v>-2.5274618450471631</v>
      </c>
      <c r="F73" s="167">
        <f t="shared" si="4"/>
        <v>49.389153754469618</v>
      </c>
      <c r="G73" s="170">
        <f t="shared" si="6"/>
        <v>24.219524281466811</v>
      </c>
      <c r="H73" s="166">
        <f t="shared" si="2"/>
        <v>2.4086965193976266</v>
      </c>
    </row>
    <row r="74" spans="1:8" s="51" customFormat="1" x14ac:dyDescent="0.2">
      <c r="A74" s="141" t="s">
        <v>150</v>
      </c>
      <c r="B74" s="171">
        <f>[81]Agosto!$D$18</f>
        <v>1.2190000000000001</v>
      </c>
      <c r="C74" s="163">
        <f t="shared" si="0"/>
        <v>160.45103545103547</v>
      </c>
      <c r="D74" s="164">
        <f t="shared" si="8"/>
        <v>-2.7425949935174887</v>
      </c>
      <c r="E74" s="164">
        <f t="shared" si="10"/>
        <v>-5.2007387965393281</v>
      </c>
      <c r="F74" s="167">
        <f t="shared" si="4"/>
        <v>38.77899530382809</v>
      </c>
      <c r="G74" s="170">
        <f t="shared" si="6"/>
        <v>16.916436878072162</v>
      </c>
      <c r="H74" s="166">
        <f t="shared" ref="H74:H137" si="11">+B$226/B74</f>
        <v>2.4766201804757997</v>
      </c>
    </row>
    <row r="75" spans="1:8" s="51" customFormat="1" x14ac:dyDescent="0.2">
      <c r="A75" s="141" t="s">
        <v>151</v>
      </c>
      <c r="B75" s="171">
        <f>[81]Setembro!$D$18</f>
        <v>1.234</v>
      </c>
      <c r="C75" s="163">
        <f t="shared" si="0"/>
        <v>162.42541242541245</v>
      </c>
      <c r="D75" s="164">
        <f t="shared" si="8"/>
        <v>1.2305168170631653</v>
      </c>
      <c r="E75" s="164">
        <f t="shared" si="10"/>
        <v>-4.0342179449791011</v>
      </c>
      <c r="F75" s="167">
        <f t="shared" si="4"/>
        <v>30.98049621865464</v>
      </c>
      <c r="G75" s="170">
        <f t="shared" si="6"/>
        <v>15.434985968194548</v>
      </c>
      <c r="H75" s="166">
        <f t="shared" si="11"/>
        <v>2.4465153970826581</v>
      </c>
    </row>
    <row r="76" spans="1:8" s="51" customFormat="1" x14ac:dyDescent="0.2">
      <c r="A76" s="141" t="s">
        <v>152</v>
      </c>
      <c r="B76" s="171">
        <f>[81]Outubro!$D$18</f>
        <v>1.2802500000000001</v>
      </c>
      <c r="C76" s="163">
        <f t="shared" si="0"/>
        <v>168.5130747630748</v>
      </c>
      <c r="D76" s="164">
        <f t="shared" si="8"/>
        <v>3.7479740680713247</v>
      </c>
      <c r="E76" s="164">
        <f t="shared" si="10"/>
        <v>-0.43744531933508357</v>
      </c>
      <c r="F76" s="167">
        <f t="shared" si="4"/>
        <v>33.498435870698671</v>
      </c>
      <c r="G76" s="170">
        <f t="shared" si="6"/>
        <v>24.864370618713806</v>
      </c>
      <c r="H76" s="166">
        <f t="shared" si="11"/>
        <v>2.358133177113845</v>
      </c>
    </row>
    <row r="77" spans="1:8" s="51" customFormat="1" x14ac:dyDescent="0.2">
      <c r="A77" s="141" t="s">
        <v>153</v>
      </c>
      <c r="B77" s="171">
        <f>[81]Novembro!$D$18</f>
        <v>1.319</v>
      </c>
      <c r="C77" s="163">
        <f t="shared" si="0"/>
        <v>173.61354861354863</v>
      </c>
      <c r="D77" s="164">
        <f t="shared" si="8"/>
        <v>3.026752587385273</v>
      </c>
      <c r="E77" s="164">
        <f t="shared" si="10"/>
        <v>2.5760668805288045</v>
      </c>
      <c r="F77" s="167">
        <f t="shared" si="4"/>
        <v>30.723488602576833</v>
      </c>
      <c r="G77" s="170">
        <f t="shared" si="6"/>
        <v>32.023772286518607</v>
      </c>
      <c r="H77" s="166">
        <f t="shared" si="11"/>
        <v>2.288855193328279</v>
      </c>
    </row>
    <row r="78" spans="1:8" s="51" customFormat="1" x14ac:dyDescent="0.2">
      <c r="A78" s="141" t="s">
        <v>154</v>
      </c>
      <c r="B78" s="171">
        <f>[81]Dezembro!$D$18</f>
        <v>1.329</v>
      </c>
      <c r="C78" s="163">
        <f t="shared" si="0"/>
        <v>174.92979992979994</v>
      </c>
      <c r="D78" s="164">
        <f t="shared" si="8"/>
        <v>0.75815011372251107</v>
      </c>
      <c r="E78" s="164">
        <f t="shared" si="10"/>
        <v>3.3537474482356222</v>
      </c>
      <c r="F78" s="167">
        <f t="shared" si="4"/>
        <v>3.3537474482356222</v>
      </c>
      <c r="G78" s="170">
        <f t="shared" si="6"/>
        <v>34.039334341906226</v>
      </c>
      <c r="H78" s="166">
        <f t="shared" si="11"/>
        <v>2.2716328066215201</v>
      </c>
    </row>
    <row r="79" spans="1:8" s="51" customFormat="1" x14ac:dyDescent="0.2">
      <c r="A79" s="141" t="s">
        <v>155</v>
      </c>
      <c r="B79" s="171">
        <f>[82]Janeiro!$D$18</f>
        <v>1.3646249999999998</v>
      </c>
      <c r="C79" s="163">
        <f t="shared" si="0"/>
        <v>179.61894524394523</v>
      </c>
      <c r="D79" s="164">
        <f t="shared" si="8"/>
        <v>2.6805869074491895</v>
      </c>
      <c r="E79" s="164">
        <f>100*(C79/$C$78-1)</f>
        <v>2.6805869074491895</v>
      </c>
      <c r="F79" s="167">
        <f t="shared" si="4"/>
        <v>5.0519630484988198</v>
      </c>
      <c r="G79" s="170">
        <f t="shared" si="6"/>
        <v>36.770233024304645</v>
      </c>
      <c r="H79" s="166">
        <f t="shared" si="11"/>
        <v>2.212329394522305</v>
      </c>
    </row>
    <row r="80" spans="1:8" s="51" customFormat="1" x14ac:dyDescent="0.2">
      <c r="A80" s="141" t="s">
        <v>156</v>
      </c>
      <c r="B80" s="171">
        <f>[82]Fevereiro!$D$18</f>
        <v>1.5189999999999999</v>
      </c>
      <c r="C80" s="163">
        <f t="shared" si="0"/>
        <v>199.93857493857493</v>
      </c>
      <c r="D80" s="164">
        <f t="shared" si="8"/>
        <v>11.312631675368712</v>
      </c>
      <c r="E80" s="164">
        <f t="shared" ref="E80:E90" si="12">100*(C80/$C$78-1)</f>
        <v>14.296463506395774</v>
      </c>
      <c r="F80" s="167">
        <f t="shared" si="4"/>
        <v>15.876799847430156</v>
      </c>
      <c r="G80" s="170">
        <f t="shared" si="6"/>
        <v>59.120073327222713</v>
      </c>
      <c r="H80" s="166">
        <f t="shared" si="11"/>
        <v>1.9874917709019093</v>
      </c>
    </row>
    <row r="81" spans="1:9" s="51" customFormat="1" x14ac:dyDescent="0.2">
      <c r="A81" s="141" t="s">
        <v>157</v>
      </c>
      <c r="B81" s="171">
        <f>[82]Março!$D$18</f>
        <v>1.6008124999999997</v>
      </c>
      <c r="C81" s="163">
        <f t="shared" si="0"/>
        <v>210.70715601965603</v>
      </c>
      <c r="D81" s="164">
        <f t="shared" si="8"/>
        <v>5.3859447004608096</v>
      </c>
      <c r="E81" s="164">
        <f t="shared" si="12"/>
        <v>20.452407825432651</v>
      </c>
      <c r="F81" s="167">
        <f t="shared" si="4"/>
        <v>21.36561789234268</v>
      </c>
      <c r="G81" s="170">
        <f t="shared" si="6"/>
        <v>93.539368293788655</v>
      </c>
      <c r="H81" s="166">
        <f t="shared" si="11"/>
        <v>1.885917307617226</v>
      </c>
    </row>
    <row r="82" spans="1:9" s="51" customFormat="1" x14ac:dyDescent="0.2">
      <c r="A82" s="141" t="s">
        <v>158</v>
      </c>
      <c r="B82" s="171">
        <f>[82]Abril!$D$18</f>
        <v>1.6189999999999998</v>
      </c>
      <c r="C82" s="163">
        <f t="shared" si="0"/>
        <v>213.1010881010881</v>
      </c>
      <c r="D82" s="164">
        <f t="shared" si="8"/>
        <v>1.1361418029906645</v>
      </c>
      <c r="E82" s="164">
        <f t="shared" si="12"/>
        <v>21.820917983446186</v>
      </c>
      <c r="F82" s="167">
        <f t="shared" si="4"/>
        <v>24.754382585243672</v>
      </c>
      <c r="G82" s="170">
        <f t="shared" si="6"/>
        <v>106.17637695001588</v>
      </c>
      <c r="H82" s="166">
        <f t="shared" si="11"/>
        <v>1.8647313156269305</v>
      </c>
    </row>
    <row r="83" spans="1:9" s="51" customFormat="1" x14ac:dyDescent="0.2">
      <c r="A83" s="141" t="s">
        <v>159</v>
      </c>
      <c r="B83" s="171">
        <f>[82]Maio!$D$18</f>
        <v>1.599</v>
      </c>
      <c r="C83" s="163">
        <f t="shared" si="0"/>
        <v>210.4685854685855</v>
      </c>
      <c r="D83" s="164">
        <f t="shared" si="8"/>
        <v>-1.2353304508955998</v>
      </c>
      <c r="E83" s="164">
        <f t="shared" si="12"/>
        <v>20.316027088036126</v>
      </c>
      <c r="F83" s="167">
        <f t="shared" si="4"/>
        <v>23.094688221709013</v>
      </c>
      <c r="G83" s="170">
        <f t="shared" si="6"/>
        <v>97.651421508034673</v>
      </c>
      <c r="H83" s="166">
        <f t="shared" si="11"/>
        <v>1.8880550343964979</v>
      </c>
    </row>
    <row r="84" spans="1:9" s="51" customFormat="1" x14ac:dyDescent="0.2">
      <c r="A84" s="141" t="s">
        <v>160</v>
      </c>
      <c r="B84" s="171">
        <f>[82]Junho!$D$18</f>
        <v>1.5890000000000002</v>
      </c>
      <c r="C84" s="163">
        <f t="shared" si="0"/>
        <v>209.15233415233419</v>
      </c>
      <c r="D84" s="164">
        <f t="shared" si="8"/>
        <v>-0.62539086929329635</v>
      </c>
      <c r="E84" s="164">
        <f t="shared" si="12"/>
        <v>19.563581640331094</v>
      </c>
      <c r="F84" s="167">
        <f t="shared" ref="F84:F147" si="13">(100*(C84/C72-1))</f>
        <v>24.237685691946886</v>
      </c>
      <c r="G84" s="170">
        <f t="shared" si="6"/>
        <v>82.853855005753729</v>
      </c>
      <c r="H84" s="166">
        <f t="shared" si="11"/>
        <v>1.8999370673379483</v>
      </c>
    </row>
    <row r="85" spans="1:9" s="51" customFormat="1" x14ac:dyDescent="0.2">
      <c r="A85" s="141" t="s">
        <v>161</v>
      </c>
      <c r="B85" s="171">
        <f>[82]Julho!$D$18</f>
        <v>1.5902499999999999</v>
      </c>
      <c r="C85" s="163">
        <f t="shared" si="0"/>
        <v>209.3168655668656</v>
      </c>
      <c r="D85" s="164">
        <f t="shared" si="8"/>
        <v>7.8665827564483592E-2</v>
      </c>
      <c r="E85" s="164">
        <f t="shared" si="12"/>
        <v>19.657637321294217</v>
      </c>
      <c r="F85" s="167">
        <f t="shared" si="13"/>
        <v>26.877430936471548</v>
      </c>
      <c r="G85" s="170">
        <f t="shared" si="6"/>
        <v>89.541120381406472</v>
      </c>
      <c r="H85" s="166">
        <f t="shared" si="11"/>
        <v>1.8984436409369598</v>
      </c>
    </row>
    <row r="86" spans="1:9" s="51" customFormat="1" x14ac:dyDescent="0.2">
      <c r="A86" s="141" t="s">
        <v>162</v>
      </c>
      <c r="B86" s="171">
        <f>[82]Agosto!$D$18</f>
        <v>1.5490000000000002</v>
      </c>
      <c r="C86" s="163">
        <f t="shared" si="0"/>
        <v>203.88732888732892</v>
      </c>
      <c r="D86" s="164">
        <f t="shared" si="8"/>
        <v>-2.5939317717339927</v>
      </c>
      <c r="E86" s="164">
        <f t="shared" si="12"/>
        <v>16.553799849510931</v>
      </c>
      <c r="F86" s="167">
        <f t="shared" si="13"/>
        <v>27.071369975389679</v>
      </c>
      <c r="G86" s="170">
        <f t="shared" si="6"/>
        <v>76.348370570656044</v>
      </c>
      <c r="H86" s="166">
        <f t="shared" si="11"/>
        <v>1.9489993544222077</v>
      </c>
      <c r="I86" s="60"/>
    </row>
    <row r="87" spans="1:9" s="51" customFormat="1" ht="15" customHeight="1" x14ac:dyDescent="0.2">
      <c r="A87" s="141" t="s">
        <v>163</v>
      </c>
      <c r="B87" s="171">
        <f>[82]Setembro!$D$18</f>
        <v>1.5389999999999999</v>
      </c>
      <c r="C87" s="163">
        <f t="shared" si="0"/>
        <v>202.57107757107761</v>
      </c>
      <c r="D87" s="164">
        <f t="shared" si="8"/>
        <v>-0.6455777921239636</v>
      </c>
      <c r="E87" s="164">
        <f t="shared" si="12"/>
        <v>15.801354401805877</v>
      </c>
      <c r="F87" s="167">
        <f t="shared" si="13"/>
        <v>24.716369529983794</v>
      </c>
      <c r="G87" s="170">
        <f t="shared" si="6"/>
        <v>63.354119676263764</v>
      </c>
      <c r="H87" s="166">
        <f t="shared" si="11"/>
        <v>1.9616634178037688</v>
      </c>
      <c r="I87" s="60"/>
    </row>
    <row r="88" spans="1:9" s="51" customFormat="1" ht="15" customHeight="1" x14ac:dyDescent="0.2">
      <c r="A88" s="141" t="s">
        <v>164</v>
      </c>
      <c r="B88" s="171">
        <f>[82]Outubro!$D$18</f>
        <v>1.5089999999999999</v>
      </c>
      <c r="C88" s="163">
        <f t="shared" si="0"/>
        <v>198.62232362232362</v>
      </c>
      <c r="D88" s="164">
        <f t="shared" si="8"/>
        <v>-1.9493177387914229</v>
      </c>
      <c r="E88" s="164">
        <f t="shared" si="12"/>
        <v>13.544018058690742</v>
      </c>
      <c r="F88" s="167">
        <f t="shared" si="13"/>
        <v>17.867603983596926</v>
      </c>
      <c r="G88" s="170">
        <f t="shared" si="6"/>
        <v>57.351407716371213</v>
      </c>
      <c r="H88" s="166">
        <f t="shared" si="11"/>
        <v>2.0006626905235256</v>
      </c>
      <c r="I88" s="60"/>
    </row>
    <row r="89" spans="1:9" s="51" customFormat="1" ht="15" customHeight="1" x14ac:dyDescent="0.2">
      <c r="A89" s="141" t="s">
        <v>165</v>
      </c>
      <c r="B89" s="171">
        <f>[82]Novembro!$D$18</f>
        <v>1.4915</v>
      </c>
      <c r="C89" s="163">
        <f t="shared" si="0"/>
        <v>196.31888381888385</v>
      </c>
      <c r="D89" s="164">
        <f t="shared" si="8"/>
        <v>-1.1597084161696358</v>
      </c>
      <c r="E89" s="164">
        <f t="shared" si="12"/>
        <v>12.227238525206928</v>
      </c>
      <c r="F89" s="167">
        <f t="shared" si="13"/>
        <v>13.078089461713427</v>
      </c>
      <c r="G89" s="170">
        <f t="shared" si="6"/>
        <v>47.819623389494595</v>
      </c>
      <c r="H89" s="166">
        <f t="shared" si="11"/>
        <v>2.0241367750586656</v>
      </c>
      <c r="I89" s="60"/>
    </row>
    <row r="90" spans="1:9" s="51" customFormat="1" ht="15" customHeight="1" x14ac:dyDescent="0.2">
      <c r="A90" s="141" t="s">
        <v>166</v>
      </c>
      <c r="B90" s="171">
        <f>[82]Dezembro!$D$18</f>
        <v>1.4721250000000001</v>
      </c>
      <c r="C90" s="163">
        <f t="shared" si="0"/>
        <v>193.76864689364692</v>
      </c>
      <c r="D90" s="164">
        <f t="shared" si="8"/>
        <v>-1.2990278243379061</v>
      </c>
      <c r="E90" s="164">
        <f t="shared" si="12"/>
        <v>10.769375470278408</v>
      </c>
      <c r="F90" s="167">
        <f t="shared" si="13"/>
        <v>10.769375470278408</v>
      </c>
      <c r="G90" s="170">
        <f t="shared" si="6"/>
        <v>14.484300573539421</v>
      </c>
      <c r="H90" s="166">
        <f t="shared" si="11"/>
        <v>2.0507769380996859</v>
      </c>
      <c r="I90" s="60"/>
    </row>
    <row r="91" spans="1:9" s="51" customFormat="1" ht="15" customHeight="1" x14ac:dyDescent="0.2">
      <c r="A91" s="141" t="s">
        <v>167</v>
      </c>
      <c r="B91" s="171">
        <f>[83]Janeiro!$D$18</f>
        <v>1.4652500000000004</v>
      </c>
      <c r="C91" s="163">
        <f t="shared" si="0"/>
        <v>192.86372411372417</v>
      </c>
      <c r="D91" s="164">
        <f t="shared" si="8"/>
        <v>-0.46701197248872894</v>
      </c>
      <c r="E91" s="164">
        <f>100*(C91/$C$90-1)</f>
        <v>-0.46701197248872894</v>
      </c>
      <c r="F91" s="167">
        <f t="shared" si="13"/>
        <v>7.3738206466978484</v>
      </c>
      <c r="G91" s="170">
        <f t="shared" si="6"/>
        <v>12.798306389530435</v>
      </c>
      <c r="H91" s="166">
        <f t="shared" si="11"/>
        <v>2.0603992492748673</v>
      </c>
      <c r="I91" s="60"/>
    </row>
    <row r="92" spans="1:9" s="51" customFormat="1" ht="15" customHeight="1" x14ac:dyDescent="0.2">
      <c r="A92" s="141" t="s">
        <v>168</v>
      </c>
      <c r="B92" s="171">
        <f>[83]Fevereiro!$D$18</f>
        <v>1.455875</v>
      </c>
      <c r="C92" s="163">
        <f t="shared" si="0"/>
        <v>191.62973850473853</v>
      </c>
      <c r="D92" s="164">
        <f t="shared" si="8"/>
        <v>-0.63982255587785586</v>
      </c>
      <c r="E92" s="164">
        <f t="shared" ref="E92:E102" si="14">100*(C92/$C$90-1)</f>
        <v>-1.1038464804279502</v>
      </c>
      <c r="F92" s="167">
        <f t="shared" si="13"/>
        <v>-4.1556945358788511</v>
      </c>
      <c r="G92" s="170">
        <f t="shared" si="6"/>
        <v>11.061314007819245</v>
      </c>
      <c r="H92" s="166">
        <f t="shared" si="11"/>
        <v>2.0736670387224176</v>
      </c>
      <c r="I92" s="60"/>
    </row>
    <row r="93" spans="1:9" s="51" customFormat="1" ht="15" customHeight="1" x14ac:dyDescent="0.2">
      <c r="A93" s="141" t="s">
        <v>169</v>
      </c>
      <c r="B93" s="171">
        <f>[83]Março!$D$18</f>
        <v>1.4690000000000001</v>
      </c>
      <c r="C93" s="163">
        <f t="shared" si="0"/>
        <v>193.35731835731838</v>
      </c>
      <c r="D93" s="164">
        <f t="shared" si="8"/>
        <v>0.90151970464498188</v>
      </c>
      <c r="E93" s="164">
        <f t="shared" si="14"/>
        <v>-0.21227816931307375</v>
      </c>
      <c r="F93" s="167">
        <f t="shared" si="13"/>
        <v>-8.2340998711591737</v>
      </c>
      <c r="G93" s="170">
        <f t="shared" si="6"/>
        <v>11.372251705837755</v>
      </c>
      <c r="H93" s="166">
        <f t="shared" si="11"/>
        <v>2.0551395507147721</v>
      </c>
      <c r="I93" s="60"/>
    </row>
    <row r="94" spans="1:9" s="51" customFormat="1" ht="15" customHeight="1" x14ac:dyDescent="0.2">
      <c r="A94" s="141" t="s">
        <v>170</v>
      </c>
      <c r="B94" s="171">
        <f>[83]Abril!$D$18</f>
        <v>1.4846250000000001</v>
      </c>
      <c r="C94" s="163">
        <f t="shared" si="0"/>
        <v>195.41396103896108</v>
      </c>
      <c r="D94" s="164">
        <f t="shared" si="8"/>
        <v>1.0636487406398887</v>
      </c>
      <c r="E94" s="164">
        <f t="shared" si="14"/>
        <v>0.8491126772522728</v>
      </c>
      <c r="F94" s="167">
        <f t="shared" si="13"/>
        <v>-8.2998764669548919</v>
      </c>
      <c r="G94" s="170">
        <f t="shared" si="6"/>
        <v>14.399922943556165</v>
      </c>
      <c r="H94" s="166">
        <f t="shared" si="11"/>
        <v>2.0335101456596782</v>
      </c>
      <c r="I94" s="60"/>
    </row>
    <row r="95" spans="1:9" s="51" customFormat="1" ht="15" customHeight="1" x14ac:dyDescent="0.2">
      <c r="A95" s="141" t="s">
        <v>171</v>
      </c>
      <c r="B95" s="171">
        <f>[83]Maio!$D$18</f>
        <v>1.4739999999999998</v>
      </c>
      <c r="C95" s="163">
        <f t="shared" si="0"/>
        <v>194.01544401544402</v>
      </c>
      <c r="D95" s="164">
        <f t="shared" si="8"/>
        <v>-0.71566893996802827</v>
      </c>
      <c r="E95" s="164">
        <f t="shared" si="14"/>
        <v>0.12736690158783315</v>
      </c>
      <c r="F95" s="167">
        <f t="shared" si="13"/>
        <v>-7.8173858661663704</v>
      </c>
      <c r="G95" s="170">
        <f t="shared" si="6"/>
        <v>13.47190146266357</v>
      </c>
      <c r="H95" s="166">
        <f t="shared" si="11"/>
        <v>2.0481682496607876</v>
      </c>
      <c r="I95" s="60"/>
    </row>
    <row r="96" spans="1:9" s="51" customFormat="1" ht="15" customHeight="1" x14ac:dyDescent="0.2">
      <c r="A96" s="141" t="s">
        <v>172</v>
      </c>
      <c r="B96" s="171">
        <f>[83]Junho!$D$18</f>
        <v>1.409</v>
      </c>
      <c r="C96" s="163">
        <f t="shared" si="0"/>
        <v>185.45981045981048</v>
      </c>
      <c r="D96" s="164">
        <f t="shared" si="8"/>
        <v>-4.4097693351424549</v>
      </c>
      <c r="E96" s="164">
        <f t="shared" si="14"/>
        <v>-4.2880190201239676</v>
      </c>
      <c r="F96" s="167">
        <f t="shared" si="13"/>
        <v>-11.327879169288869</v>
      </c>
      <c r="G96" s="170">
        <f t="shared" ref="G96:G159" si="15">100*(C96/C72-1)</f>
        <v>10.16419077404227</v>
      </c>
      <c r="H96" s="166">
        <f t="shared" si="11"/>
        <v>2.1426543647977287</v>
      </c>
      <c r="I96" s="60"/>
    </row>
    <row r="97" spans="1:9" s="51" customFormat="1" ht="15" customHeight="1" x14ac:dyDescent="0.2">
      <c r="A97" s="141" t="s">
        <v>173</v>
      </c>
      <c r="B97" s="171">
        <f>[83]Julho!$D$18</f>
        <v>1.399</v>
      </c>
      <c r="C97" s="163">
        <f t="shared" si="0"/>
        <v>184.14355914355917</v>
      </c>
      <c r="D97" s="164">
        <f t="shared" si="8"/>
        <v>-0.70972320794889798</v>
      </c>
      <c r="E97" s="164">
        <f t="shared" si="14"/>
        <v>-4.9673091619257814</v>
      </c>
      <c r="F97" s="167">
        <f t="shared" si="13"/>
        <v>-12.026410941675836</v>
      </c>
      <c r="G97" s="170">
        <f t="shared" si="15"/>
        <v>11.618629699810533</v>
      </c>
      <c r="H97" s="166">
        <f t="shared" si="11"/>
        <v>2.1579699785561117</v>
      </c>
      <c r="I97" s="60"/>
    </row>
    <row r="98" spans="1:9" s="51" customFormat="1" ht="15" customHeight="1" x14ac:dyDescent="0.2">
      <c r="A98" s="141" t="s">
        <v>175</v>
      </c>
      <c r="B98" s="171">
        <f>[83]Agosto!$D$18</f>
        <v>1.3826250000000002</v>
      </c>
      <c r="C98" s="163">
        <f t="shared" si="0"/>
        <v>181.98819761319766</v>
      </c>
      <c r="D98" s="164">
        <f t="shared" si="8"/>
        <v>-1.1704789135096316</v>
      </c>
      <c r="E98" s="164">
        <f t="shared" si="14"/>
        <v>-6.0796467691262563</v>
      </c>
      <c r="F98" s="167">
        <f t="shared" si="13"/>
        <v>-10.740800516462222</v>
      </c>
      <c r="G98" s="170">
        <f t="shared" si="15"/>
        <v>13.422887612797396</v>
      </c>
      <c r="H98" s="166">
        <f t="shared" si="11"/>
        <v>2.1835277099719734</v>
      </c>
      <c r="I98" s="60"/>
    </row>
    <row r="99" spans="1:9" s="51" customFormat="1" ht="15" customHeight="1" x14ac:dyDescent="0.2">
      <c r="A99" s="141" t="s">
        <v>176</v>
      </c>
      <c r="B99" s="171">
        <f>[83]Setembro!$D$18</f>
        <v>1.348875</v>
      </c>
      <c r="C99" s="163">
        <f t="shared" si="0"/>
        <v>177.54584942084946</v>
      </c>
      <c r="D99" s="164">
        <f t="shared" si="8"/>
        <v>-2.4410089503661636</v>
      </c>
      <c r="E99" s="164">
        <f t="shared" si="14"/>
        <v>-8.3722509977073862</v>
      </c>
      <c r="F99" s="167">
        <f t="shared" si="13"/>
        <v>-12.353801169590639</v>
      </c>
      <c r="G99" s="170">
        <f t="shared" si="15"/>
        <v>9.309157212317686</v>
      </c>
      <c r="H99" s="166">
        <f t="shared" si="11"/>
        <v>2.2381614308219815</v>
      </c>
      <c r="I99" s="60"/>
    </row>
    <row r="100" spans="1:9" s="51" customFormat="1" ht="15" customHeight="1" x14ac:dyDescent="0.2">
      <c r="A100" s="141" t="s">
        <v>177</v>
      </c>
      <c r="B100" s="171">
        <f>[83]Outubro!$D$18</f>
        <v>1.329</v>
      </c>
      <c r="C100" s="163">
        <f t="shared" si="0"/>
        <v>174.92979992979994</v>
      </c>
      <c r="D100" s="164">
        <f t="shared" si="8"/>
        <v>-1.4734500973033193</v>
      </c>
      <c r="E100" s="164">
        <f t="shared" si="14"/>
        <v>-9.7223401545385109</v>
      </c>
      <c r="F100" s="167">
        <f t="shared" si="13"/>
        <v>-11.928429423459242</v>
      </c>
      <c r="G100" s="170">
        <f t="shared" si="15"/>
        <v>3.8078500292911377</v>
      </c>
      <c r="H100" s="166">
        <f t="shared" si="11"/>
        <v>2.2716328066215201</v>
      </c>
      <c r="I100" s="60"/>
    </row>
    <row r="101" spans="1:9" s="51" customFormat="1" ht="15" customHeight="1" x14ac:dyDescent="0.2">
      <c r="A101" s="141" t="s">
        <v>178</v>
      </c>
      <c r="B101" s="171">
        <f>[83]Novembro!$D$18</f>
        <v>1.31525</v>
      </c>
      <c r="C101" s="163">
        <f t="shared" si="0"/>
        <v>173.1199543699544</v>
      </c>
      <c r="D101" s="164">
        <f t="shared" si="8"/>
        <v>-1.0346124905944221</v>
      </c>
      <c r="E101" s="164">
        <f t="shared" si="14"/>
        <v>-10.656364099516002</v>
      </c>
      <c r="F101" s="167">
        <f t="shared" si="13"/>
        <v>-11.816962789138453</v>
      </c>
      <c r="G101" s="170">
        <f t="shared" si="15"/>
        <v>-0.28430629264594165</v>
      </c>
      <c r="H101" s="166">
        <f t="shared" si="11"/>
        <v>2.2953811062535641</v>
      </c>
      <c r="I101" s="60"/>
    </row>
    <row r="102" spans="1:9" s="51" customFormat="1" ht="15" customHeight="1" x14ac:dyDescent="0.2">
      <c r="A102" s="141" t="s">
        <v>179</v>
      </c>
      <c r="B102" s="171">
        <f>[83]Dezembro!$D$18</f>
        <v>1.362125</v>
      </c>
      <c r="C102" s="163">
        <f t="shared" si="0"/>
        <v>179.28988241488244</v>
      </c>
      <c r="D102" s="164">
        <f>100*(B102/B101-1)</f>
        <v>3.5639612241018748</v>
      </c>
      <c r="E102" s="164">
        <f t="shared" si="14"/>
        <v>-7.4721915598199846</v>
      </c>
      <c r="F102" s="167">
        <f t="shared" si="13"/>
        <v>-7.4721915598199846</v>
      </c>
      <c r="G102" s="170">
        <f t="shared" si="15"/>
        <v>2.4924755455229652</v>
      </c>
      <c r="H102" s="166">
        <f t="shared" si="11"/>
        <v>2.2163898320638706</v>
      </c>
      <c r="I102" s="60"/>
    </row>
    <row r="103" spans="1:9" s="51" customFormat="1" ht="15" customHeight="1" x14ac:dyDescent="0.2">
      <c r="A103" s="141" t="s">
        <v>180</v>
      </c>
      <c r="B103" s="171">
        <f>[84]Janeiro!$D$18</f>
        <v>1.3690000000000002</v>
      </c>
      <c r="C103" s="163">
        <f t="shared" si="0"/>
        <v>180.19480519480527</v>
      </c>
      <c r="D103" s="164">
        <f>100*(B103/B102-1)</f>
        <v>0.50472607139580017</v>
      </c>
      <c r="E103" s="164">
        <f>100*(C103/$C$102-1)</f>
        <v>0.50472607139582237</v>
      </c>
      <c r="F103" s="167">
        <f t="shared" si="13"/>
        <v>-6.5688449070124495</v>
      </c>
      <c r="G103" s="170">
        <f t="shared" si="15"/>
        <v>0.32060089768255473</v>
      </c>
      <c r="H103" s="166">
        <f t="shared" si="11"/>
        <v>2.2052593133674212</v>
      </c>
      <c r="I103" s="60"/>
    </row>
    <row r="104" spans="1:9" s="51" customFormat="1" ht="15" customHeight="1" x14ac:dyDescent="0.2">
      <c r="A104" s="141" t="s">
        <v>181</v>
      </c>
      <c r="B104" s="171">
        <f>[84]Fevereiro!$D$18</f>
        <v>1.3583749999999999</v>
      </c>
      <c r="C104" s="163">
        <f t="shared" si="0"/>
        <v>178.79628817128815</v>
      </c>
      <c r="D104" s="164">
        <f>100*(B104/B103-1)</f>
        <v>-0.77611395178964759</v>
      </c>
      <c r="E104" s="164">
        <f t="shared" ref="E104:E114" si="16">100*(C104/$C$102-1)</f>
        <v>-0.27530512985227684</v>
      </c>
      <c r="F104" s="167">
        <f t="shared" si="13"/>
        <v>-6.6970035202198126</v>
      </c>
      <c r="G104" s="170">
        <f t="shared" si="15"/>
        <v>-10.574391046741283</v>
      </c>
      <c r="H104" s="166">
        <f t="shared" si="11"/>
        <v>2.2225085120088344</v>
      </c>
      <c r="I104" s="60"/>
    </row>
    <row r="105" spans="1:9" s="51" customFormat="1" ht="15" customHeight="1" x14ac:dyDescent="0.2">
      <c r="A105" s="141" t="s">
        <v>182</v>
      </c>
      <c r="B105" s="171">
        <f>[84]Março!$D$18</f>
        <v>1.4840000000000004</v>
      </c>
      <c r="C105" s="163">
        <f t="shared" si="0"/>
        <v>195.33169533169539</v>
      </c>
      <c r="D105" s="164">
        <f>100*(B105/B104-1)</f>
        <v>9.2481825710868151</v>
      </c>
      <c r="E105" s="164">
        <f t="shared" si="16"/>
        <v>8.9474167201982304</v>
      </c>
      <c r="F105" s="167">
        <f t="shared" si="13"/>
        <v>1.0211027910143056</v>
      </c>
      <c r="G105" s="170">
        <f t="shared" si="15"/>
        <v>-7.2970757037441718</v>
      </c>
      <c r="H105" s="166">
        <f t="shared" si="11"/>
        <v>2.0343665768194064</v>
      </c>
      <c r="I105" s="60"/>
    </row>
    <row r="106" spans="1:9" s="51" customFormat="1" ht="15" customHeight="1" x14ac:dyDescent="0.2">
      <c r="A106" s="141" t="s">
        <v>183</v>
      </c>
      <c r="B106" s="171">
        <f>[84]Abril!$D$18</f>
        <v>1.4750000000000003</v>
      </c>
      <c r="C106" s="163">
        <f t="shared" si="0"/>
        <v>194.1470691470692</v>
      </c>
      <c r="D106" s="164">
        <f>100*(B106/B105-1)</f>
        <v>-0.60646900269543114</v>
      </c>
      <c r="E106" s="164">
        <f t="shared" si="16"/>
        <v>8.2866844085528246</v>
      </c>
      <c r="F106" s="167">
        <f t="shared" si="13"/>
        <v>-0.64831186326512746</v>
      </c>
      <c r="G106" s="170">
        <f t="shared" si="15"/>
        <v>-8.8943792464483913</v>
      </c>
      <c r="H106" s="166">
        <f t="shared" si="11"/>
        <v>2.0467796610169486</v>
      </c>
      <c r="I106" s="60"/>
    </row>
    <row r="107" spans="1:9" s="51" customFormat="1" ht="15" customHeight="1" x14ac:dyDescent="0.2">
      <c r="A107" s="141" t="s">
        <v>185</v>
      </c>
      <c r="B107" s="171">
        <f>[84]Maio!$D$18</f>
        <v>1.4860000000000004</v>
      </c>
      <c r="C107" s="163">
        <f t="shared" ref="C107:C170" si="17">100*B107/B$7</f>
        <v>195.59494559494567</v>
      </c>
      <c r="D107" s="164">
        <f t="shared" ref="D107:D123" si="18">100*(B107/B106-1)</f>
        <v>0.74576271186441723</v>
      </c>
      <c r="E107" s="164">
        <f t="shared" si="16"/>
        <v>9.0942461227861102</v>
      </c>
      <c r="F107" s="167">
        <f t="shared" si="13"/>
        <v>0.81411126187249661</v>
      </c>
      <c r="G107" s="170">
        <f t="shared" si="15"/>
        <v>-7.066916823014358</v>
      </c>
      <c r="H107" s="166">
        <f t="shared" si="11"/>
        <v>2.0316285329744277</v>
      </c>
      <c r="I107" s="60"/>
    </row>
    <row r="108" spans="1:9" s="51" customFormat="1" ht="15" customHeight="1" x14ac:dyDescent="0.2">
      <c r="A108" s="141" t="s">
        <v>186</v>
      </c>
      <c r="B108" s="171">
        <f>[84]Junho!$D$18</f>
        <v>1.4540000000000004</v>
      </c>
      <c r="C108" s="163">
        <f t="shared" si="17"/>
        <v>191.38294138294145</v>
      </c>
      <c r="D108" s="164">
        <f t="shared" si="18"/>
        <v>-2.1534320323014833</v>
      </c>
      <c r="E108" s="164">
        <f t="shared" si="16"/>
        <v>6.7449756813802164</v>
      </c>
      <c r="F108" s="167">
        <f t="shared" si="13"/>
        <v>3.1937544357700798</v>
      </c>
      <c r="G108" s="170">
        <f t="shared" si="15"/>
        <v>-8.4959093769666261</v>
      </c>
      <c r="H108" s="166">
        <f t="shared" si="11"/>
        <v>2.0763411279229707</v>
      </c>
      <c r="I108" s="60"/>
    </row>
    <row r="109" spans="1:9" s="51" customFormat="1" ht="15" customHeight="1" x14ac:dyDescent="0.2">
      <c r="A109" s="141" t="s">
        <v>187</v>
      </c>
      <c r="B109" s="171">
        <f>[84]Julho!$D$18</f>
        <v>1.4669999999999999</v>
      </c>
      <c r="C109" s="163">
        <f t="shared" si="17"/>
        <v>193.09406809406809</v>
      </c>
      <c r="D109" s="164">
        <f t="shared" si="18"/>
        <v>0.89408528198069437</v>
      </c>
      <c r="E109" s="164">
        <f t="shared" si="16"/>
        <v>7.6993667982013125</v>
      </c>
      <c r="F109" s="167">
        <f t="shared" si="13"/>
        <v>4.8606147248034137</v>
      </c>
      <c r="G109" s="170">
        <f t="shared" si="15"/>
        <v>-7.7503537179688937</v>
      </c>
      <c r="H109" s="166">
        <f t="shared" si="11"/>
        <v>2.0579413769597821</v>
      </c>
      <c r="I109" s="60"/>
    </row>
    <row r="110" spans="1:9" s="51" customFormat="1" ht="15" customHeight="1" x14ac:dyDescent="0.2">
      <c r="A110" s="141" t="s">
        <v>188</v>
      </c>
      <c r="B110" s="171">
        <f>[84]Agosto!$D$18</f>
        <v>1.4669999999999999</v>
      </c>
      <c r="C110" s="163">
        <f t="shared" si="17"/>
        <v>193.09406809406809</v>
      </c>
      <c r="D110" s="164">
        <f t="shared" si="18"/>
        <v>0</v>
      </c>
      <c r="E110" s="164">
        <f t="shared" si="16"/>
        <v>7.6993667982013125</v>
      </c>
      <c r="F110" s="167">
        <f t="shared" si="13"/>
        <v>6.1025223759153535</v>
      </c>
      <c r="G110" s="170">
        <f t="shared" si="15"/>
        <v>-5.2937378954164167</v>
      </c>
      <c r="H110" s="166">
        <f t="shared" si="11"/>
        <v>2.0579413769597821</v>
      </c>
      <c r="I110" s="60"/>
    </row>
    <row r="111" spans="1:9" s="51" customFormat="1" ht="15" customHeight="1" x14ac:dyDescent="0.2">
      <c r="A111" s="141" t="s">
        <v>189</v>
      </c>
      <c r="B111" s="171">
        <f>[84]Setembro!$D$18</f>
        <v>1.4860000000000004</v>
      </c>
      <c r="C111" s="163">
        <f t="shared" si="17"/>
        <v>195.59494559494567</v>
      </c>
      <c r="D111" s="164">
        <f t="shared" si="18"/>
        <v>1.2951601908657517</v>
      </c>
      <c r="E111" s="164">
        <f t="shared" si="16"/>
        <v>9.0942461227861102</v>
      </c>
      <c r="F111" s="167">
        <f t="shared" si="13"/>
        <v>10.165878973218433</v>
      </c>
      <c r="G111" s="170">
        <f t="shared" si="15"/>
        <v>-3.4437946718648305</v>
      </c>
      <c r="H111" s="166">
        <f t="shared" si="11"/>
        <v>2.0316285329744277</v>
      </c>
      <c r="I111" s="60"/>
    </row>
    <row r="112" spans="1:9" s="51" customFormat="1" ht="15" customHeight="1" x14ac:dyDescent="0.2">
      <c r="A112" s="141" t="s">
        <v>190</v>
      </c>
      <c r="B112" s="171">
        <f>[84]Outubro!$D$18</f>
        <v>1.5109999999999995</v>
      </c>
      <c r="C112" s="163">
        <f t="shared" si="17"/>
        <v>198.88557388557382</v>
      </c>
      <c r="D112" s="164">
        <f t="shared" si="18"/>
        <v>1.6823687752354655</v>
      </c>
      <c r="E112" s="164">
        <f t="shared" si="16"/>
        <v>10.929613655134386</v>
      </c>
      <c r="F112" s="167">
        <f t="shared" si="13"/>
        <v>13.694507148231704</v>
      </c>
      <c r="G112" s="170">
        <f t="shared" si="15"/>
        <v>0.13253810470506</v>
      </c>
      <c r="H112" s="166">
        <f t="shared" si="11"/>
        <v>1.9980145598941106</v>
      </c>
      <c r="I112" s="60"/>
    </row>
    <row r="113" spans="1:9" s="51" customFormat="1" ht="15" customHeight="1" x14ac:dyDescent="0.2">
      <c r="A113" s="141" t="s">
        <v>191</v>
      </c>
      <c r="B113" s="171">
        <f>[84]Novembro!$D$18</f>
        <v>1.5120000000000002</v>
      </c>
      <c r="C113" s="163">
        <f t="shared" si="17"/>
        <v>199.01719901719906</v>
      </c>
      <c r="D113" s="164">
        <f t="shared" si="18"/>
        <v>6.6181336863047058E-2</v>
      </c>
      <c r="E113" s="164">
        <f t="shared" si="16"/>
        <v>11.003028356428391</v>
      </c>
      <c r="F113" s="167">
        <f t="shared" si="13"/>
        <v>14.959133244630296</v>
      </c>
      <c r="G113" s="170">
        <f t="shared" si="15"/>
        <v>1.3744552463962556</v>
      </c>
      <c r="H113" s="166">
        <f t="shared" si="11"/>
        <v>1.9966931216931214</v>
      </c>
      <c r="I113" s="60"/>
    </row>
    <row r="114" spans="1:9" s="51" customFormat="1" ht="15" customHeight="1" x14ac:dyDescent="0.2">
      <c r="A114" s="141" t="s">
        <v>192</v>
      </c>
      <c r="B114" s="171">
        <f>[84]Dezembro!$D$18</f>
        <v>1.5129999999999995</v>
      </c>
      <c r="C114" s="163">
        <f t="shared" si="17"/>
        <v>199.1488241488241</v>
      </c>
      <c r="D114" s="164">
        <f t="shared" si="18"/>
        <v>6.6137566137514092E-2</v>
      </c>
      <c r="E114" s="164">
        <f t="shared" si="16"/>
        <v>11.076443057722262</v>
      </c>
      <c r="F114" s="167">
        <f t="shared" si="13"/>
        <v>11.076443057722262</v>
      </c>
      <c r="G114" s="170">
        <f t="shared" si="15"/>
        <v>2.776598454614887</v>
      </c>
      <c r="H114" s="166">
        <f t="shared" si="11"/>
        <v>1.9953734302709856</v>
      </c>
      <c r="I114" s="60"/>
    </row>
    <row r="115" spans="1:9" s="51" customFormat="1" ht="15" customHeight="1" x14ac:dyDescent="0.2">
      <c r="A115" s="141" t="s">
        <v>193</v>
      </c>
      <c r="B115" s="171">
        <f>[85]Janeiro!$D$18</f>
        <v>1.5109999999999995</v>
      </c>
      <c r="C115" s="163">
        <f t="shared" si="17"/>
        <v>198.88557388557382</v>
      </c>
      <c r="D115" s="164">
        <f t="shared" si="18"/>
        <v>-0.13218770654329637</v>
      </c>
      <c r="E115" s="164">
        <f>100*(C115/$C$114-1)</f>
        <v>-0.13218770654330747</v>
      </c>
      <c r="F115" s="167">
        <f t="shared" si="13"/>
        <v>10.372534696858949</v>
      </c>
      <c r="G115" s="170">
        <f t="shared" si="15"/>
        <v>3.1223340726837856</v>
      </c>
      <c r="H115" s="166">
        <f t="shared" si="11"/>
        <v>1.9980145598941106</v>
      </c>
      <c r="I115" s="60"/>
    </row>
    <row r="116" spans="1:9" s="51" customFormat="1" ht="15" customHeight="1" x14ac:dyDescent="0.2">
      <c r="A116" s="141" t="s">
        <v>194</v>
      </c>
      <c r="B116" s="171">
        <f>[85]Fevereiro!$D$18</f>
        <v>1.5360000000000003</v>
      </c>
      <c r="C116" s="163">
        <f t="shared" si="17"/>
        <v>202.17620217620222</v>
      </c>
      <c r="D116" s="164">
        <f t="shared" si="18"/>
        <v>1.6545334215751772</v>
      </c>
      <c r="E116" s="164">
        <f t="shared" ref="E116:E126" si="19">100*(C116/$C$114-1)</f>
        <v>1.5201586252479027</v>
      </c>
      <c r="F116" s="167">
        <f t="shared" si="13"/>
        <v>13.076286003496861</v>
      </c>
      <c r="G116" s="170">
        <f t="shared" si="15"/>
        <v>5.5035631493088433</v>
      </c>
      <c r="H116" s="166">
        <f t="shared" si="11"/>
        <v>1.9654947916666665</v>
      </c>
      <c r="I116" s="60"/>
    </row>
    <row r="117" spans="1:9" s="51" customFormat="1" ht="15" customHeight="1" x14ac:dyDescent="0.2">
      <c r="A117" s="141" t="s">
        <v>195</v>
      </c>
      <c r="B117" s="171">
        <f>[85]Março!$D$18</f>
        <v>1.5079999999999996</v>
      </c>
      <c r="C117" s="163">
        <f t="shared" si="17"/>
        <v>198.49069849069846</v>
      </c>
      <c r="D117" s="164">
        <f t="shared" si="18"/>
        <v>-1.8229166666667074</v>
      </c>
      <c r="E117" s="164">
        <f t="shared" si="19"/>
        <v>-0.33046926635822427</v>
      </c>
      <c r="F117" s="167">
        <f t="shared" si="13"/>
        <v>1.617250673854409</v>
      </c>
      <c r="G117" s="170">
        <f t="shared" si="15"/>
        <v>2.6548672566371501</v>
      </c>
      <c r="H117" s="166">
        <f t="shared" si="11"/>
        <v>2.0019893899204249</v>
      </c>
      <c r="I117" s="60"/>
    </row>
    <row r="118" spans="1:9" s="51" customFormat="1" ht="15" customHeight="1" x14ac:dyDescent="0.2">
      <c r="A118" s="141" t="s">
        <v>196</v>
      </c>
      <c r="B118" s="171">
        <f>[85]Abril!$D$18</f>
        <v>1.4639999999999997</v>
      </c>
      <c r="C118" s="163">
        <f t="shared" si="17"/>
        <v>192.69919269919268</v>
      </c>
      <c r="D118" s="164">
        <f t="shared" si="18"/>
        <v>-2.9177718832891109</v>
      </c>
      <c r="E118" s="164">
        <f t="shared" si="19"/>
        <v>-3.2385988103106333</v>
      </c>
      <c r="F118" s="167">
        <f t="shared" si="13"/>
        <v>-0.74576271186445053</v>
      </c>
      <c r="G118" s="170">
        <f t="shared" si="15"/>
        <v>-1.3892397069967477</v>
      </c>
      <c r="H118" s="166">
        <f t="shared" si="11"/>
        <v>2.0621584699453557</v>
      </c>
      <c r="I118" s="60"/>
    </row>
    <row r="119" spans="1:9" s="51" customFormat="1" ht="15" customHeight="1" x14ac:dyDescent="0.2">
      <c r="A119" s="141" t="s">
        <v>197</v>
      </c>
      <c r="B119" s="171">
        <f>[85]Maio!$D$18</f>
        <v>1.4359999999999999</v>
      </c>
      <c r="C119" s="163">
        <f t="shared" si="17"/>
        <v>189.01368901368903</v>
      </c>
      <c r="D119" s="164">
        <f t="shared" si="18"/>
        <v>-1.91256830601092</v>
      </c>
      <c r="E119" s="164">
        <f t="shared" si="19"/>
        <v>-5.0892267019166937</v>
      </c>
      <c r="F119" s="167">
        <f t="shared" si="13"/>
        <v>-3.3647375504710864</v>
      </c>
      <c r="G119" s="170">
        <f t="shared" si="15"/>
        <v>-2.578018995929432</v>
      </c>
      <c r="H119" s="166">
        <f t="shared" si="11"/>
        <v>2.1023676880222841</v>
      </c>
      <c r="I119" s="60"/>
    </row>
    <row r="120" spans="1:9" s="51" customFormat="1" ht="15" customHeight="1" x14ac:dyDescent="0.2">
      <c r="A120" s="141" t="s">
        <v>198</v>
      </c>
      <c r="B120" s="171">
        <f>[85]Junho!$D$18</f>
        <v>1.3879999999999995</v>
      </c>
      <c r="C120" s="163">
        <f t="shared" si="17"/>
        <v>182.69568269568265</v>
      </c>
      <c r="D120" s="164">
        <f t="shared" si="18"/>
        <v>-3.3426183844011526</v>
      </c>
      <c r="E120" s="164">
        <f t="shared" si="19"/>
        <v>-8.2617316589557177</v>
      </c>
      <c r="F120" s="167">
        <f t="shared" si="13"/>
        <v>-4.5392022008253647</v>
      </c>
      <c r="G120" s="170">
        <f t="shared" si="15"/>
        <v>-1.4904187366927224</v>
      </c>
      <c r="H120" s="166">
        <f t="shared" si="11"/>
        <v>2.175072046109511</v>
      </c>
      <c r="I120" s="60"/>
    </row>
    <row r="121" spans="1:9" s="51" customFormat="1" ht="15" customHeight="1" x14ac:dyDescent="0.2">
      <c r="A121" s="141" t="s">
        <v>200</v>
      </c>
      <c r="B121" s="171">
        <f>[85]Julho!$D$18</f>
        <v>1.43</v>
      </c>
      <c r="C121" s="163">
        <f t="shared" si="17"/>
        <v>188.22393822393823</v>
      </c>
      <c r="D121" s="164">
        <f t="shared" si="18"/>
        <v>3.0259365994236731</v>
      </c>
      <c r="E121" s="164">
        <f t="shared" si="19"/>
        <v>-5.4857898215465717</v>
      </c>
      <c r="F121" s="167">
        <f t="shared" si="13"/>
        <v>-2.5221540558963862</v>
      </c>
      <c r="G121" s="170">
        <f t="shared" si="15"/>
        <v>2.2158684774838955</v>
      </c>
      <c r="H121" s="166">
        <f t="shared" si="11"/>
        <v>2.1111888111888115</v>
      </c>
      <c r="I121" s="60"/>
    </row>
    <row r="122" spans="1:9" s="51" customFormat="1" ht="15" customHeight="1" x14ac:dyDescent="0.2">
      <c r="A122" s="141" t="s">
        <v>201</v>
      </c>
      <c r="B122" s="171">
        <f>[85]Agosto!$D$18</f>
        <v>1.4410000000000001</v>
      </c>
      <c r="C122" s="163">
        <f t="shared" si="17"/>
        <v>189.67181467181467</v>
      </c>
      <c r="D122" s="164">
        <f t="shared" si="18"/>
        <v>0.7692307692307887</v>
      </c>
      <c r="E122" s="164">
        <f t="shared" si="19"/>
        <v>-4.7587574355584694</v>
      </c>
      <c r="F122" s="167">
        <f t="shared" si="13"/>
        <v>-1.7723244717109732</v>
      </c>
      <c r="G122" s="170">
        <f t="shared" si="15"/>
        <v>4.2220414067444034</v>
      </c>
      <c r="H122" s="166">
        <f t="shared" si="11"/>
        <v>2.0950728660652325</v>
      </c>
      <c r="I122" s="60"/>
    </row>
    <row r="123" spans="1:9" s="51" customFormat="1" ht="15" customHeight="1" x14ac:dyDescent="0.2">
      <c r="A123" s="141" t="s">
        <v>202</v>
      </c>
      <c r="B123" s="171">
        <f>[85]Setembro!$D$18</f>
        <v>1.4720000000000002</v>
      </c>
      <c r="C123" s="163">
        <f t="shared" si="17"/>
        <v>193.75219375219379</v>
      </c>
      <c r="D123" s="164">
        <f t="shared" si="18"/>
        <v>2.1512838306731563</v>
      </c>
      <c r="E123" s="164">
        <f t="shared" si="19"/>
        <v>-2.7098479841374368</v>
      </c>
      <c r="F123" s="167">
        <f t="shared" si="13"/>
        <v>-0.94212651413191351</v>
      </c>
      <c r="G123" s="170">
        <f t="shared" si="15"/>
        <v>9.1279770178852804</v>
      </c>
      <c r="H123" s="166">
        <f t="shared" si="11"/>
        <v>2.0509510869565215</v>
      </c>
      <c r="I123" s="60"/>
    </row>
    <row r="124" spans="1:9" s="51" customFormat="1" ht="15" customHeight="1" x14ac:dyDescent="0.2">
      <c r="A124" s="141" t="s">
        <v>203</v>
      </c>
      <c r="B124" s="171">
        <f>[85]Outubro!$D$18</f>
        <v>1.6290000000000004</v>
      </c>
      <c r="C124" s="163">
        <f t="shared" si="17"/>
        <v>214.41733941733949</v>
      </c>
      <c r="D124" s="164">
        <f>100*(B124/B123-1)</f>
        <v>10.665760869565233</v>
      </c>
      <c r="E124" s="164">
        <f t="shared" si="19"/>
        <v>7.6668869795109673</v>
      </c>
      <c r="F124" s="167">
        <f t="shared" si="13"/>
        <v>7.8093977498346234</v>
      </c>
      <c r="G124" s="170">
        <f t="shared" si="15"/>
        <v>22.573363431151282</v>
      </c>
      <c r="H124" s="166">
        <f t="shared" si="11"/>
        <v>1.8532842234499689</v>
      </c>
      <c r="I124" s="60"/>
    </row>
    <row r="125" spans="1:9" s="51" customFormat="1" ht="15" customHeight="1" x14ac:dyDescent="0.2">
      <c r="A125" s="141" t="s">
        <v>204</v>
      </c>
      <c r="B125" s="171">
        <f>[85]Novembro!$D$18</f>
        <v>1.6930000000000005</v>
      </c>
      <c r="C125" s="163">
        <f t="shared" si="17"/>
        <v>222.84134784134793</v>
      </c>
      <c r="D125" s="164">
        <f t="shared" ref="D125:D141" si="20">100*(B125/B124-1)</f>
        <v>3.928790669122173</v>
      </c>
      <c r="E125" s="164">
        <f t="shared" si="19"/>
        <v>11.896893588896296</v>
      </c>
      <c r="F125" s="167">
        <f t="shared" si="13"/>
        <v>11.970899470899488</v>
      </c>
      <c r="G125" s="170">
        <f t="shared" si="15"/>
        <v>28.720775517962394</v>
      </c>
      <c r="H125" s="166">
        <f t="shared" si="11"/>
        <v>1.7832250443000586</v>
      </c>
      <c r="I125" s="60"/>
    </row>
    <row r="126" spans="1:9" s="51" customFormat="1" ht="15" customHeight="1" x14ac:dyDescent="0.2">
      <c r="A126" s="141" t="s">
        <v>205</v>
      </c>
      <c r="B126" s="171">
        <f>[85]Dezembro!$D$18</f>
        <v>1.7070000000000005</v>
      </c>
      <c r="C126" s="163">
        <f t="shared" si="17"/>
        <v>224.68409968409978</v>
      </c>
      <c r="D126" s="164">
        <f t="shared" si="20"/>
        <v>0.8269344359125741</v>
      </c>
      <c r="E126" s="164">
        <f t="shared" si="19"/>
        <v>12.822207534699338</v>
      </c>
      <c r="F126" s="167">
        <f t="shared" si="13"/>
        <v>12.822207534699338</v>
      </c>
      <c r="G126" s="170">
        <f t="shared" si="15"/>
        <v>25.318895108745565</v>
      </c>
      <c r="H126" s="166">
        <f t="shared" si="11"/>
        <v>1.7685998828353833</v>
      </c>
      <c r="I126" s="60"/>
    </row>
    <row r="127" spans="1:9" s="51" customFormat="1" ht="15" customHeight="1" x14ac:dyDescent="0.2">
      <c r="A127" s="141" t="s">
        <v>206</v>
      </c>
      <c r="B127" s="171">
        <f>[86]Janeiro!$D$9</f>
        <v>1.9480000000000002</v>
      </c>
      <c r="C127" s="163">
        <f t="shared" si="17"/>
        <v>256.40575640575645</v>
      </c>
      <c r="D127" s="164">
        <f t="shared" si="20"/>
        <v>14.118336262448716</v>
      </c>
      <c r="E127" s="164">
        <f>100*(C127/$C$126-1)</f>
        <v>14.118336262448716</v>
      </c>
      <c r="F127" s="167">
        <f t="shared" si="13"/>
        <v>28.921244209133089</v>
      </c>
      <c r="G127" s="170">
        <f t="shared" si="15"/>
        <v>42.293644996347666</v>
      </c>
      <c r="H127" s="166">
        <f t="shared" si="11"/>
        <v>1.549794661190965</v>
      </c>
      <c r="I127" s="60"/>
    </row>
    <row r="128" spans="1:9" s="51" customFormat="1" ht="15" customHeight="1" x14ac:dyDescent="0.2">
      <c r="A128" s="141" t="s">
        <v>207</v>
      </c>
      <c r="B128" s="171">
        <f>[86]Fevereiro!$D$9</f>
        <v>1.9819999999999998</v>
      </c>
      <c r="C128" s="163">
        <f t="shared" si="17"/>
        <v>260.88101088101087</v>
      </c>
      <c r="D128" s="164">
        <f t="shared" si="20"/>
        <v>1.7453798767966822</v>
      </c>
      <c r="E128" s="164">
        <f t="shared" ref="E128:E138" si="21">100*(C128/$C$126-1)</f>
        <v>16.11013473930867</v>
      </c>
      <c r="F128" s="167">
        <f t="shared" si="13"/>
        <v>29.036458333333304</v>
      </c>
      <c r="G128" s="170">
        <f t="shared" si="15"/>
        <v>45.909634673783017</v>
      </c>
      <c r="H128" s="166">
        <f t="shared" si="11"/>
        <v>1.5232088799192738</v>
      </c>
      <c r="I128" s="60"/>
    </row>
    <row r="129" spans="1:9" s="51" customFormat="1" ht="15" customHeight="1" x14ac:dyDescent="0.2">
      <c r="A129" s="141" t="s">
        <v>208</v>
      </c>
      <c r="B129" s="171">
        <f>[86]Março!$D$9</f>
        <v>1.7620000000000002</v>
      </c>
      <c r="C129" s="163">
        <f t="shared" si="17"/>
        <v>231.92348192348197</v>
      </c>
      <c r="D129" s="164">
        <f t="shared" si="20"/>
        <v>-11.099899091826416</v>
      </c>
      <c r="E129" s="164">
        <f t="shared" si="21"/>
        <v>3.2220269478617336</v>
      </c>
      <c r="F129" s="167">
        <f t="shared" si="13"/>
        <v>16.843501326259979</v>
      </c>
      <c r="G129" s="170">
        <f t="shared" si="15"/>
        <v>18.733153638814002</v>
      </c>
      <c r="H129" s="166">
        <f t="shared" si="11"/>
        <v>1.713393870601589</v>
      </c>
      <c r="I129" s="60"/>
    </row>
    <row r="130" spans="1:9" s="51" customFormat="1" ht="15" customHeight="1" x14ac:dyDescent="0.2">
      <c r="A130" s="141" t="s">
        <v>209</v>
      </c>
      <c r="B130" s="171">
        <f>[86]Abril!$D$9</f>
        <v>1.6999999999999997</v>
      </c>
      <c r="C130" s="163">
        <f t="shared" si="17"/>
        <v>223.76272376272374</v>
      </c>
      <c r="D130" s="164">
        <f t="shared" si="20"/>
        <v>-3.5187287173666593</v>
      </c>
      <c r="E130" s="164">
        <f t="shared" si="21"/>
        <v>-0.41007615700063837</v>
      </c>
      <c r="F130" s="167">
        <f t="shared" si="13"/>
        <v>16.120218579234979</v>
      </c>
      <c r="G130" s="170">
        <f t="shared" si="15"/>
        <v>15.254237288135553</v>
      </c>
      <c r="H130" s="166">
        <f t="shared" si="11"/>
        <v>1.7758823529411769</v>
      </c>
      <c r="I130" s="60"/>
    </row>
    <row r="131" spans="1:9" s="51" customFormat="1" ht="15" customHeight="1" x14ac:dyDescent="0.2">
      <c r="A131" s="141" t="s">
        <v>210</v>
      </c>
      <c r="B131" s="171">
        <f>[86]Maio!$D$9</f>
        <v>1.5679999999999998</v>
      </c>
      <c r="C131" s="163">
        <f t="shared" si="17"/>
        <v>206.38820638820638</v>
      </c>
      <c r="D131" s="164">
        <f t="shared" si="20"/>
        <v>-7.7647058823529402</v>
      </c>
      <c r="E131" s="164">
        <f t="shared" si="21"/>
        <v>-8.1429408318688168</v>
      </c>
      <c r="F131" s="167">
        <f t="shared" si="13"/>
        <v>9.1922005571030585</v>
      </c>
      <c r="G131" s="170">
        <f t="shared" si="15"/>
        <v>5.5181695827724919</v>
      </c>
      <c r="H131" s="166">
        <f t="shared" si="11"/>
        <v>1.9253826530612248</v>
      </c>
      <c r="I131" s="60"/>
    </row>
    <row r="132" spans="1:9" s="51" customFormat="1" ht="15" customHeight="1" x14ac:dyDescent="0.2">
      <c r="A132" s="141" t="s">
        <v>211</v>
      </c>
      <c r="B132" s="171">
        <f>[86]Junho!$D$9</f>
        <v>1.5289999999999999</v>
      </c>
      <c r="C132" s="163">
        <f t="shared" si="17"/>
        <v>201.25482625482624</v>
      </c>
      <c r="D132" s="164">
        <f t="shared" si="20"/>
        <v>-2.4872448979591844</v>
      </c>
      <c r="E132" s="164">
        <f t="shared" si="21"/>
        <v>-10.427650849443515</v>
      </c>
      <c r="F132" s="167">
        <f t="shared" si="13"/>
        <v>10.158501440922208</v>
      </c>
      <c r="G132" s="170">
        <f t="shared" si="15"/>
        <v>5.1581843191196297</v>
      </c>
      <c r="H132" s="166">
        <f t="shared" si="11"/>
        <v>1.9744931327665143</v>
      </c>
      <c r="I132" s="60"/>
    </row>
    <row r="133" spans="1:9" s="51" customFormat="1" ht="15" customHeight="1" x14ac:dyDescent="0.2">
      <c r="A133" s="141" t="s">
        <v>212</v>
      </c>
      <c r="B133" s="171">
        <f>[86]Julho!$D$9</f>
        <v>1.5820000000000003</v>
      </c>
      <c r="C133" s="163">
        <f t="shared" si="17"/>
        <v>208.23095823095827</v>
      </c>
      <c r="D133" s="164">
        <f t="shared" si="20"/>
        <v>3.4663178548070883</v>
      </c>
      <c r="E133" s="164">
        <f t="shared" si="21"/>
        <v>-7.3227885178676289</v>
      </c>
      <c r="F133" s="167">
        <f t="shared" si="13"/>
        <v>10.629370629370637</v>
      </c>
      <c r="G133" s="170">
        <f t="shared" si="15"/>
        <v>7.8391274710293279</v>
      </c>
      <c r="H133" s="166">
        <f t="shared" si="11"/>
        <v>1.9083438685208594</v>
      </c>
      <c r="I133" s="60"/>
    </row>
    <row r="134" spans="1:9" s="51" customFormat="1" ht="15" customHeight="1" x14ac:dyDescent="0.2">
      <c r="A134" s="141" t="s">
        <v>213</v>
      </c>
      <c r="B134" s="171">
        <f>[86]Agosto!$D$9</f>
        <v>1.5920000000000003</v>
      </c>
      <c r="C134" s="163">
        <f t="shared" si="17"/>
        <v>209.54720954720958</v>
      </c>
      <c r="D134" s="164">
        <f t="shared" si="20"/>
        <v>0.6321112515802696</v>
      </c>
      <c r="E134" s="164">
        <f t="shared" si="21"/>
        <v>-6.7369654364382248</v>
      </c>
      <c r="F134" s="167">
        <f t="shared" si="13"/>
        <v>10.478834142956295</v>
      </c>
      <c r="G134" s="170">
        <f t="shared" si="15"/>
        <v>8.5207907293797014</v>
      </c>
      <c r="H134" s="166">
        <f t="shared" si="11"/>
        <v>1.8963567839195976</v>
      </c>
      <c r="I134" s="60"/>
    </row>
    <row r="135" spans="1:9" s="51" customFormat="1" ht="15" customHeight="1" x14ac:dyDescent="0.2">
      <c r="A135" s="141" t="s">
        <v>214</v>
      </c>
      <c r="B135" s="171">
        <f>[86]Setembro!$D$9</f>
        <v>1.6060000000000001</v>
      </c>
      <c r="C135" s="163">
        <f t="shared" si="17"/>
        <v>211.38996138996143</v>
      </c>
      <c r="D135" s="164">
        <f t="shared" si="20"/>
        <v>0.87939698492460749</v>
      </c>
      <c r="E135" s="164">
        <f t="shared" si="21"/>
        <v>-5.9168131224370484</v>
      </c>
      <c r="F135" s="167">
        <f t="shared" si="13"/>
        <v>9.1032608695652115</v>
      </c>
      <c r="G135" s="170">
        <f t="shared" si="15"/>
        <v>8.0753701211305327</v>
      </c>
      <c r="H135" s="166">
        <f t="shared" si="11"/>
        <v>1.8798256537982565</v>
      </c>
      <c r="I135" s="60"/>
    </row>
    <row r="136" spans="1:9" s="51" customFormat="1" ht="15" customHeight="1" x14ac:dyDescent="0.2">
      <c r="A136" s="141" t="s">
        <v>215</v>
      </c>
      <c r="B136" s="171">
        <f>[86]Outubro!$D$9</f>
        <v>1.7300000000000002</v>
      </c>
      <c r="C136" s="163">
        <f t="shared" si="17"/>
        <v>227.71147771147778</v>
      </c>
      <c r="D136" s="164">
        <f t="shared" si="20"/>
        <v>7.7210460772104694</v>
      </c>
      <c r="E136" s="164">
        <f t="shared" si="21"/>
        <v>1.3473930872876183</v>
      </c>
      <c r="F136" s="167">
        <f t="shared" si="13"/>
        <v>6.2001227747084053</v>
      </c>
      <c r="G136" s="170">
        <f t="shared" si="15"/>
        <v>14.493712772998091</v>
      </c>
      <c r="H136" s="166">
        <f t="shared" si="11"/>
        <v>1.745086705202312</v>
      </c>
      <c r="I136" s="60"/>
    </row>
    <row r="137" spans="1:9" s="51" customFormat="1" ht="15" customHeight="1" x14ac:dyDescent="0.2">
      <c r="A137" s="141" t="s">
        <v>216</v>
      </c>
      <c r="B137" s="171">
        <f>[86]Novembro!$D$9</f>
        <v>1.7539999999999998</v>
      </c>
      <c r="C137" s="163">
        <f t="shared" si="17"/>
        <v>230.87048087048086</v>
      </c>
      <c r="D137" s="164">
        <f t="shared" si="20"/>
        <v>1.3872832369941968</v>
      </c>
      <c r="E137" s="164">
        <f t="shared" si="21"/>
        <v>2.7533684827181659</v>
      </c>
      <c r="F137" s="167">
        <f t="shared" si="13"/>
        <v>3.6030714707619094</v>
      </c>
      <c r="G137" s="170">
        <f t="shared" si="15"/>
        <v>16.005291005290978</v>
      </c>
      <c r="H137" s="166">
        <f t="shared" si="11"/>
        <v>1.7212086659064998</v>
      </c>
      <c r="I137" s="60"/>
    </row>
    <row r="138" spans="1:9" s="51" customFormat="1" ht="15" customHeight="1" x14ac:dyDescent="0.2">
      <c r="A138" s="141" t="s">
        <v>217</v>
      </c>
      <c r="B138" s="171">
        <f>[86]Dezembro!$D$9</f>
        <v>1.8130000000000002</v>
      </c>
      <c r="C138" s="163">
        <f t="shared" si="17"/>
        <v>238.63636363636368</v>
      </c>
      <c r="D138" s="164">
        <f t="shared" si="20"/>
        <v>3.3637400228050396</v>
      </c>
      <c r="E138" s="164">
        <f t="shared" si="21"/>
        <v>6.2097246631517056</v>
      </c>
      <c r="F138" s="167">
        <f t="shared" si="13"/>
        <v>6.2097246631517056</v>
      </c>
      <c r="G138" s="170">
        <f t="shared" si="15"/>
        <v>19.828155981493765</v>
      </c>
      <c r="H138" s="166">
        <f t="shared" ref="H138:H201" si="22">+B$226/B138</f>
        <v>1.6651958080529508</v>
      </c>
      <c r="I138" s="60"/>
    </row>
    <row r="139" spans="1:9" s="51" customFormat="1" ht="15" customHeight="1" x14ac:dyDescent="0.2">
      <c r="A139" s="15" t="s">
        <v>218</v>
      </c>
      <c r="B139" s="171">
        <f>[87]Janeiro!$D$9</f>
        <v>1.8670000000000004</v>
      </c>
      <c r="C139" s="163">
        <f t="shared" si="17"/>
        <v>245.74412074412083</v>
      </c>
      <c r="D139" s="164">
        <f t="shared" si="20"/>
        <v>2.978488692774417</v>
      </c>
      <c r="E139" s="164">
        <f>100*(C139/$C$138-1)</f>
        <v>2.978488692774417</v>
      </c>
      <c r="F139" s="167">
        <f t="shared" si="13"/>
        <v>-4.1581108829568558</v>
      </c>
      <c r="G139" s="170">
        <f t="shared" si="15"/>
        <v>23.560555923229742</v>
      </c>
      <c r="H139" s="166">
        <f t="shared" si="22"/>
        <v>1.617032672737011</v>
      </c>
      <c r="I139" s="60"/>
    </row>
    <row r="140" spans="1:9" s="51" customFormat="1" ht="15" customHeight="1" x14ac:dyDescent="0.2">
      <c r="A140" s="15" t="s">
        <v>219</v>
      </c>
      <c r="B140" s="171">
        <f>[87]Fevereiro!$D$9</f>
        <v>1.9139999999999999</v>
      </c>
      <c r="C140" s="163">
        <f t="shared" si="17"/>
        <v>251.93050193050198</v>
      </c>
      <c r="D140" s="164">
        <f t="shared" si="20"/>
        <v>2.5174076057846495</v>
      </c>
      <c r="E140" s="164">
        <f t="shared" ref="E140:E150" si="23">100*(C140/$C$138-1)</f>
        <v>5.5708769994484264</v>
      </c>
      <c r="F140" s="167">
        <f t="shared" si="13"/>
        <v>-3.4308779011099633</v>
      </c>
      <c r="G140" s="170">
        <f t="shared" si="15"/>
        <v>24.609375</v>
      </c>
      <c r="H140" s="166">
        <f t="shared" si="22"/>
        <v>1.5773249738766981</v>
      </c>
      <c r="I140" s="60"/>
    </row>
    <row r="141" spans="1:9" s="51" customFormat="1" ht="15" customHeight="1" x14ac:dyDescent="0.2">
      <c r="A141" s="15" t="s">
        <v>220</v>
      </c>
      <c r="B141" s="171">
        <f>[87]Março!$D$9</f>
        <v>2.1939999999999995</v>
      </c>
      <c r="C141" s="163">
        <f t="shared" si="17"/>
        <v>288.78553878553873</v>
      </c>
      <c r="D141" s="164">
        <f t="shared" si="20"/>
        <v>14.629049111807714</v>
      </c>
      <c r="E141" s="164">
        <f t="shared" si="23"/>
        <v>21.014892443463818</v>
      </c>
      <c r="F141" s="167">
        <f t="shared" si="13"/>
        <v>24.517593643586789</v>
      </c>
      <c r="G141" s="170">
        <f t="shared" si="15"/>
        <v>45.490716180371351</v>
      </c>
      <c r="H141" s="166">
        <f t="shared" si="22"/>
        <v>1.3760255241567916</v>
      </c>
      <c r="I141" s="60"/>
    </row>
    <row r="142" spans="1:9" s="51" customFormat="1" ht="15" customHeight="1" x14ac:dyDescent="0.2">
      <c r="A142" s="15" t="s">
        <v>221</v>
      </c>
      <c r="B142" s="171">
        <f>[87]Abril!$D$9</f>
        <v>2.3249999999999997</v>
      </c>
      <c r="C142" s="163">
        <f t="shared" si="17"/>
        <v>306.02843102843104</v>
      </c>
      <c r="D142" s="164">
        <f>100*(B142/B141-1)</f>
        <v>5.9708295350957341</v>
      </c>
      <c r="E142" s="164">
        <f t="shared" si="23"/>
        <v>28.240485383342516</v>
      </c>
      <c r="F142" s="167">
        <f t="shared" si="13"/>
        <v>36.764705882352963</v>
      </c>
      <c r="G142" s="170">
        <f t="shared" si="15"/>
        <v>58.811475409836092</v>
      </c>
      <c r="H142" s="166">
        <f t="shared" si="22"/>
        <v>1.2984946236559143</v>
      </c>
      <c r="I142" s="60"/>
    </row>
    <row r="143" spans="1:9" s="51" customFormat="1" ht="15" customHeight="1" x14ac:dyDescent="0.2">
      <c r="A143" s="15" t="s">
        <v>222</v>
      </c>
      <c r="B143" s="171">
        <f>[87]Maio!$D$9</f>
        <v>2.25</v>
      </c>
      <c r="C143" s="163">
        <f t="shared" si="17"/>
        <v>296.1565461565462</v>
      </c>
      <c r="D143" s="164">
        <f t="shared" ref="D143:D200" si="24">100*(B143/B142-1)</f>
        <v>-3.2258064516128893</v>
      </c>
      <c r="E143" s="164">
        <f t="shared" si="23"/>
        <v>24.103695532266944</v>
      </c>
      <c r="F143" s="167">
        <f t="shared" si="13"/>
        <v>43.494897959183689</v>
      </c>
      <c r="G143" s="170">
        <f t="shared" si="15"/>
        <v>56.685236768802241</v>
      </c>
      <c r="H143" s="166">
        <f t="shared" si="22"/>
        <v>1.3417777777777777</v>
      </c>
      <c r="I143" s="60"/>
    </row>
    <row r="144" spans="1:9" s="51" customFormat="1" ht="15" customHeight="1" x14ac:dyDescent="0.2">
      <c r="A144" s="15" t="s">
        <v>223</v>
      </c>
      <c r="B144" s="171">
        <f>[87]Junho!$D$9</f>
        <v>1.9499999999999997</v>
      </c>
      <c r="C144" s="163">
        <f t="shared" si="17"/>
        <v>256.66900666900665</v>
      </c>
      <c r="D144" s="164">
        <f t="shared" si="24"/>
        <v>-13.333333333333341</v>
      </c>
      <c r="E144" s="164">
        <f t="shared" si="23"/>
        <v>7.5565361279646748</v>
      </c>
      <c r="F144" s="167">
        <f t="shared" si="13"/>
        <v>27.534336167429686</v>
      </c>
      <c r="G144" s="170">
        <f t="shared" si="15"/>
        <v>40.489913544668624</v>
      </c>
      <c r="H144" s="166">
        <f t="shared" si="22"/>
        <v>1.5482051282051286</v>
      </c>
      <c r="I144" s="60"/>
    </row>
    <row r="145" spans="1:9" s="51" customFormat="1" ht="15" customHeight="1" x14ac:dyDescent="0.2">
      <c r="A145" s="15" t="s">
        <v>224</v>
      </c>
      <c r="B145" s="171">
        <f>[87]Julho!$D$9</f>
        <v>2.0019999999999993</v>
      </c>
      <c r="C145" s="163">
        <f t="shared" si="17"/>
        <v>263.51351351351343</v>
      </c>
      <c r="D145" s="164">
        <f t="shared" si="24"/>
        <v>2.6666666666666394</v>
      </c>
      <c r="E145" s="164">
        <f t="shared" si="23"/>
        <v>10.424710424710359</v>
      </c>
      <c r="F145" s="167">
        <f t="shared" si="13"/>
        <v>26.548672566371611</v>
      </c>
      <c r="G145" s="170">
        <f t="shared" si="15"/>
        <v>39.999999999999943</v>
      </c>
      <c r="H145" s="166">
        <f t="shared" si="22"/>
        <v>1.5079920079920086</v>
      </c>
      <c r="I145" s="60"/>
    </row>
    <row r="146" spans="1:9" s="51" customFormat="1" ht="15" customHeight="1" x14ac:dyDescent="0.2">
      <c r="A146" s="15" t="s">
        <v>225</v>
      </c>
      <c r="B146" s="171">
        <f>[87]Agosto!$D$9</f>
        <v>2.0059999999999998</v>
      </c>
      <c r="C146" s="163">
        <f t="shared" si="17"/>
        <v>264.040014040014</v>
      </c>
      <c r="D146" s="164">
        <f t="shared" si="24"/>
        <v>0.19980019980021524</v>
      </c>
      <c r="E146" s="164">
        <f t="shared" si="23"/>
        <v>10.645339216767757</v>
      </c>
      <c r="F146" s="167">
        <f t="shared" si="13"/>
        <v>26.005025125628102</v>
      </c>
      <c r="G146" s="170">
        <f t="shared" si="15"/>
        <v>39.208882720333072</v>
      </c>
      <c r="H146" s="166">
        <f t="shared" si="22"/>
        <v>1.5049850448654041</v>
      </c>
      <c r="I146" s="60"/>
    </row>
    <row r="147" spans="1:9" s="51" customFormat="1" ht="15" customHeight="1" x14ac:dyDescent="0.2">
      <c r="A147" s="15" t="s">
        <v>226</v>
      </c>
      <c r="B147" s="171">
        <f>[87]Setembro!$D$9</f>
        <v>2</v>
      </c>
      <c r="C147" s="163">
        <f t="shared" si="17"/>
        <v>263.25026325026329</v>
      </c>
      <c r="D147" s="164">
        <f t="shared" si="24"/>
        <v>-0.29910269192421346</v>
      </c>
      <c r="E147" s="164">
        <f t="shared" si="23"/>
        <v>10.314396028681738</v>
      </c>
      <c r="F147" s="167">
        <f t="shared" si="13"/>
        <v>24.533001245329999</v>
      </c>
      <c r="G147" s="170">
        <f t="shared" si="15"/>
        <v>35.869565217391312</v>
      </c>
      <c r="H147" s="166">
        <f t="shared" si="22"/>
        <v>1.5095000000000001</v>
      </c>
      <c r="I147" s="60"/>
    </row>
    <row r="148" spans="1:9" s="51" customFormat="1" ht="15" customHeight="1" x14ac:dyDescent="0.2">
      <c r="A148" s="15" t="s">
        <v>227</v>
      </c>
      <c r="B148" s="171">
        <f>[87]Outubro!$D$9</f>
        <v>2.0070000000000001</v>
      </c>
      <c r="C148" s="163">
        <f t="shared" si="17"/>
        <v>264.17163917163924</v>
      </c>
      <c r="D148" s="164">
        <f t="shared" si="24"/>
        <v>0.35000000000000586</v>
      </c>
      <c r="E148" s="164">
        <f t="shared" si="23"/>
        <v>10.700496414782146</v>
      </c>
      <c r="F148" s="167">
        <f t="shared" ref="F148:F200" si="25">(100*(C148/C136-1))</f>
        <v>16.011560693641602</v>
      </c>
      <c r="G148" s="170">
        <f t="shared" si="15"/>
        <v>23.204419889502748</v>
      </c>
      <c r="H148" s="166">
        <f t="shared" si="22"/>
        <v>1.5042351768809168</v>
      </c>
      <c r="I148" s="60"/>
    </row>
    <row r="149" spans="1:9" s="51" customFormat="1" ht="15" customHeight="1" x14ac:dyDescent="0.2">
      <c r="A149" s="15" t="s">
        <v>228</v>
      </c>
      <c r="B149" s="171">
        <f>[87]Novembro!$D$9</f>
        <v>2.0390000000000001</v>
      </c>
      <c r="C149" s="163">
        <f t="shared" si="17"/>
        <v>268.3836433836434</v>
      </c>
      <c r="D149" s="164">
        <f t="shared" si="24"/>
        <v>1.5944195316392573</v>
      </c>
      <c r="E149" s="164">
        <f t="shared" si="23"/>
        <v>12.465526751241018</v>
      </c>
      <c r="F149" s="167">
        <f t="shared" si="25"/>
        <v>16.248574686431017</v>
      </c>
      <c r="G149" s="170">
        <f t="shared" si="15"/>
        <v>20.437093916125182</v>
      </c>
      <c r="H149" s="166">
        <f t="shared" si="22"/>
        <v>1.4806277587052477</v>
      </c>
      <c r="I149" s="60"/>
    </row>
    <row r="150" spans="1:9" s="51" customFormat="1" ht="15" customHeight="1" x14ac:dyDescent="0.2">
      <c r="A150" s="15" t="s">
        <v>229</v>
      </c>
      <c r="B150" s="171">
        <f>[87]Dezembro!$D$9</f>
        <v>2.0579999999999998</v>
      </c>
      <c r="C150" s="163">
        <f t="shared" si="17"/>
        <v>270.8845208845209</v>
      </c>
      <c r="D150" s="164">
        <f t="shared" si="24"/>
        <v>0.93182932810198515</v>
      </c>
      <c r="E150" s="164">
        <f t="shared" si="23"/>
        <v>13.513513513513487</v>
      </c>
      <c r="F150" s="167">
        <f t="shared" si="25"/>
        <v>13.513513513513487</v>
      </c>
      <c r="G150" s="170">
        <f t="shared" si="15"/>
        <v>20.562390158172185</v>
      </c>
      <c r="H150" s="166">
        <f t="shared" si="22"/>
        <v>1.4669582118561713</v>
      </c>
      <c r="I150" s="60"/>
    </row>
    <row r="151" spans="1:9" s="51" customFormat="1" ht="15" customHeight="1" x14ac:dyDescent="0.2">
      <c r="A151" s="15" t="s">
        <v>230</v>
      </c>
      <c r="B151" s="171">
        <f>[88]Janeiro!$D$9</f>
        <v>2.0339999999999994</v>
      </c>
      <c r="C151" s="163">
        <f t="shared" si="17"/>
        <v>267.7255177255177</v>
      </c>
      <c r="D151" s="164">
        <f t="shared" si="24"/>
        <v>-1.166180758017521</v>
      </c>
      <c r="E151" s="164">
        <f>100*(C151/$C$150-1)</f>
        <v>-1.1661807580175099</v>
      </c>
      <c r="F151" s="167">
        <f t="shared" si="25"/>
        <v>8.9448312801285077</v>
      </c>
      <c r="G151" s="170">
        <f t="shared" si="15"/>
        <v>4.4147843942504927</v>
      </c>
      <c r="H151" s="166">
        <f t="shared" si="22"/>
        <v>1.4842674532940026</v>
      </c>
      <c r="I151" s="60"/>
    </row>
    <row r="152" spans="1:9" s="51" customFormat="1" ht="15" customHeight="1" x14ac:dyDescent="0.2">
      <c r="A152" s="15" t="s">
        <v>231</v>
      </c>
      <c r="B152" s="171">
        <f>[88]Fevereiro!$D$9</f>
        <v>1.9759999999999995</v>
      </c>
      <c r="C152" s="163">
        <f t="shared" si="17"/>
        <v>260.0912600912601</v>
      </c>
      <c r="D152" s="164">
        <f t="shared" si="24"/>
        <v>-2.851524090462132</v>
      </c>
      <c r="E152" s="164">
        <f>100*(C152/$C$150-1)</f>
        <v>-3.9844509232264347</v>
      </c>
      <c r="F152" s="167">
        <f t="shared" si="25"/>
        <v>3.2392894461859889</v>
      </c>
      <c r="G152" s="170">
        <f t="shared" si="15"/>
        <v>-0.30272452068617062</v>
      </c>
      <c r="H152" s="166">
        <f t="shared" si="22"/>
        <v>1.5278340080971664</v>
      </c>
      <c r="I152" s="60"/>
    </row>
    <row r="153" spans="1:9" s="51" customFormat="1" ht="15" customHeight="1" x14ac:dyDescent="0.2">
      <c r="A153" s="15" t="s">
        <v>232</v>
      </c>
      <c r="B153" s="171">
        <f>[88]Março!$F$9</f>
        <v>2.0089999999999999</v>
      </c>
      <c r="C153" s="163">
        <f t="shared" si="17"/>
        <v>264.43488943488944</v>
      </c>
      <c r="D153" s="164">
        <f t="shared" si="24"/>
        <v>1.6700404858299711</v>
      </c>
      <c r="E153" s="164">
        <f t="shared" ref="E153:E162" si="26">100*(C153/$C$150-1)</f>
        <v>-2.3809523809523836</v>
      </c>
      <c r="F153" s="167">
        <f t="shared" si="25"/>
        <v>-8.4320875113946929</v>
      </c>
      <c r="G153" s="170">
        <f t="shared" si="15"/>
        <v>14.018161180476717</v>
      </c>
      <c r="H153" s="166">
        <f t="shared" si="22"/>
        <v>1.502737680438029</v>
      </c>
      <c r="I153" s="60"/>
    </row>
    <row r="154" spans="1:9" s="51" customFormat="1" ht="15" customHeight="1" x14ac:dyDescent="0.2">
      <c r="A154" s="15" t="s">
        <v>233</v>
      </c>
      <c r="B154" s="171">
        <f>[88]Abril!$F$9</f>
        <v>1.9879999999999998</v>
      </c>
      <c r="C154" s="163">
        <f t="shared" si="17"/>
        <v>261.67076167076169</v>
      </c>
      <c r="D154" s="164">
        <f t="shared" si="24"/>
        <v>-1.0452961672473893</v>
      </c>
      <c r="E154" s="164">
        <f t="shared" si="26"/>
        <v>-3.4013605442176797</v>
      </c>
      <c r="F154" s="167">
        <f t="shared" si="25"/>
        <v>-14.494623655913975</v>
      </c>
      <c r="G154" s="170">
        <f t="shared" si="15"/>
        <v>16.94117647058826</v>
      </c>
      <c r="H154" s="166">
        <f t="shared" si="22"/>
        <v>1.5186116700201209</v>
      </c>
      <c r="I154" s="60"/>
    </row>
    <row r="155" spans="1:9" s="51" customFormat="1" ht="15" customHeight="1" x14ac:dyDescent="0.2">
      <c r="A155" s="15" t="s">
        <v>234</v>
      </c>
      <c r="B155" s="171">
        <f>[88]Maio!$F$9</f>
        <v>1.9650000000000001</v>
      </c>
      <c r="C155" s="163">
        <f t="shared" si="17"/>
        <v>258.64338364338369</v>
      </c>
      <c r="D155" s="164">
        <f t="shared" si="24"/>
        <v>-1.156941649899379</v>
      </c>
      <c r="E155" s="164">
        <f t="shared" si="26"/>
        <v>-4.5189504373177698</v>
      </c>
      <c r="F155" s="167">
        <f t="shared" si="25"/>
        <v>-12.666666666666659</v>
      </c>
      <c r="G155" s="170">
        <f t="shared" si="15"/>
        <v>25.318877551020424</v>
      </c>
      <c r="H155" s="166">
        <f t="shared" si="22"/>
        <v>1.5363867684478372</v>
      </c>
      <c r="I155" s="60"/>
    </row>
    <row r="156" spans="1:9" s="51" customFormat="1" ht="15" customHeight="1" x14ac:dyDescent="0.2">
      <c r="A156" s="15" t="s">
        <v>235</v>
      </c>
      <c r="B156" s="171">
        <f>[88]Junho!$F$9</f>
        <v>1.9250000000000003</v>
      </c>
      <c r="C156" s="163">
        <f t="shared" si="17"/>
        <v>253.37837837837844</v>
      </c>
      <c r="D156" s="164">
        <f t="shared" si="24"/>
        <v>-2.0356234096691961</v>
      </c>
      <c r="E156" s="164">
        <f t="shared" si="26"/>
        <v>-6.4625850340135909</v>
      </c>
      <c r="F156" s="167">
        <f t="shared" si="25"/>
        <v>-1.2820512820512442</v>
      </c>
      <c r="G156" s="170">
        <f t="shared" si="15"/>
        <v>25.899280575539606</v>
      </c>
      <c r="H156" s="166">
        <f t="shared" si="22"/>
        <v>1.5683116883116881</v>
      </c>
      <c r="I156" s="60"/>
    </row>
    <row r="157" spans="1:9" s="51" customFormat="1" ht="15" customHeight="1" x14ac:dyDescent="0.2">
      <c r="A157" s="15" t="s">
        <v>236</v>
      </c>
      <c r="B157" s="171">
        <f>[88]Julho!$F$9</f>
        <v>1.9250000000000003</v>
      </c>
      <c r="C157" s="163">
        <f t="shared" si="17"/>
        <v>253.37837837837844</v>
      </c>
      <c r="D157" s="164">
        <f t="shared" si="24"/>
        <v>0</v>
      </c>
      <c r="E157" s="164">
        <f t="shared" si="26"/>
        <v>-6.4625850340135909</v>
      </c>
      <c r="F157" s="167">
        <f t="shared" si="25"/>
        <v>-3.8461538461537881</v>
      </c>
      <c r="G157" s="170">
        <f t="shared" si="15"/>
        <v>21.681415929203538</v>
      </c>
      <c r="H157" s="166">
        <f t="shared" si="22"/>
        <v>1.5683116883116881</v>
      </c>
      <c r="I157" s="60"/>
    </row>
    <row r="158" spans="1:9" s="51" customFormat="1" ht="15" customHeight="1" x14ac:dyDescent="0.2">
      <c r="A158" s="15" t="s">
        <v>237</v>
      </c>
      <c r="B158" s="171">
        <f>[88]Agosto!$F$9</f>
        <v>1.881</v>
      </c>
      <c r="C158" s="163">
        <f t="shared" si="17"/>
        <v>247.5868725868726</v>
      </c>
      <c r="D158" s="164">
        <f t="shared" si="24"/>
        <v>-2.285714285714302</v>
      </c>
      <c r="E158" s="164">
        <f t="shared" si="26"/>
        <v>-8.6005830903790113</v>
      </c>
      <c r="F158" s="167">
        <f t="shared" si="25"/>
        <v>-6.2313060817547168</v>
      </c>
      <c r="G158" s="170">
        <f t="shared" si="15"/>
        <v>18.15326633165828</v>
      </c>
      <c r="H158" s="166">
        <f t="shared" si="22"/>
        <v>1.6049973418394472</v>
      </c>
      <c r="I158" s="60"/>
    </row>
    <row r="159" spans="1:9" s="51" customFormat="1" ht="15" customHeight="1" x14ac:dyDescent="0.2">
      <c r="A159" s="15" t="s">
        <v>238</v>
      </c>
      <c r="B159" s="171">
        <f>[88]Setembro!$F$9</f>
        <v>1.891</v>
      </c>
      <c r="C159" s="163">
        <f t="shared" si="17"/>
        <v>248.90312390312391</v>
      </c>
      <c r="D159" s="164">
        <f t="shared" si="24"/>
        <v>0.53163211057947191</v>
      </c>
      <c r="E159" s="164">
        <f t="shared" si="26"/>
        <v>-8.1146744412050502</v>
      </c>
      <c r="F159" s="167">
        <f t="shared" si="25"/>
        <v>-5.4500000000000099</v>
      </c>
      <c r="G159" s="170">
        <f t="shared" si="15"/>
        <v>17.74595267745951</v>
      </c>
      <c r="H159" s="166">
        <f t="shared" si="22"/>
        <v>1.5965097831835009</v>
      </c>
      <c r="I159" s="60"/>
    </row>
    <row r="160" spans="1:9" s="51" customFormat="1" ht="15" customHeight="1" x14ac:dyDescent="0.2">
      <c r="A160" s="15" t="s">
        <v>239</v>
      </c>
      <c r="B160" s="171">
        <f>[88]Outubro!$F$9</f>
        <v>1.8829999999999996</v>
      </c>
      <c r="C160" s="163">
        <f t="shared" si="17"/>
        <v>247.8501228501228</v>
      </c>
      <c r="D160" s="164">
        <f t="shared" si="24"/>
        <v>-0.4230565838181044</v>
      </c>
      <c r="E160" s="164">
        <f t="shared" si="26"/>
        <v>-8.5034013605442382</v>
      </c>
      <c r="F160" s="167">
        <f t="shared" si="25"/>
        <v>-6.1783756851021892</v>
      </c>
      <c r="G160" s="170">
        <f t="shared" ref="G160:G200" si="27">100*(C160/C136-1)</f>
        <v>8.8439306358381042</v>
      </c>
      <c r="H160" s="166">
        <f t="shared" si="22"/>
        <v>1.6032926181625071</v>
      </c>
      <c r="I160" s="60"/>
    </row>
    <row r="161" spans="1:9" s="51" customFormat="1" ht="15" customHeight="1" x14ac:dyDescent="0.2">
      <c r="A161" s="15" t="s">
        <v>240</v>
      </c>
      <c r="B161" s="171">
        <f>[88]Novembro!$F$9</f>
        <v>1.917</v>
      </c>
      <c r="C161" s="163">
        <f t="shared" si="17"/>
        <v>252.32537732537736</v>
      </c>
      <c r="D161" s="164">
        <f t="shared" si="24"/>
        <v>1.8056293149230296</v>
      </c>
      <c r="E161" s="164">
        <f t="shared" si="26"/>
        <v>-6.8513119533527567</v>
      </c>
      <c r="F161" s="167">
        <f t="shared" si="25"/>
        <v>-5.9833251593918497</v>
      </c>
      <c r="G161" s="170">
        <f t="shared" si="27"/>
        <v>9.2930444697833625</v>
      </c>
      <c r="H161" s="166">
        <f t="shared" si="22"/>
        <v>1.5748565466875326</v>
      </c>
      <c r="I161" s="60"/>
    </row>
    <row r="162" spans="1:9" s="51" customFormat="1" ht="15" customHeight="1" x14ac:dyDescent="0.2">
      <c r="A162" s="15" t="s">
        <v>241</v>
      </c>
      <c r="B162" s="171">
        <f>[88]Dezembro!$F$9</f>
        <v>1.9410000000000003</v>
      </c>
      <c r="C162" s="163">
        <f t="shared" si="17"/>
        <v>255.48438048438055</v>
      </c>
      <c r="D162" s="164">
        <f t="shared" si="24"/>
        <v>1.2519561815336644</v>
      </c>
      <c r="E162" s="164">
        <f t="shared" si="26"/>
        <v>-5.6851311953352575</v>
      </c>
      <c r="F162" s="167">
        <f t="shared" si="25"/>
        <v>-5.6851311953352575</v>
      </c>
      <c r="G162" s="170">
        <f t="shared" si="27"/>
        <v>7.060121345835646</v>
      </c>
      <c r="H162" s="166">
        <f t="shared" si="22"/>
        <v>1.5553838227717669</v>
      </c>
      <c r="I162" s="60"/>
    </row>
    <row r="163" spans="1:9" s="51" customFormat="1" ht="15" customHeight="1" x14ac:dyDescent="0.2">
      <c r="A163" s="15" t="s">
        <v>242</v>
      </c>
      <c r="B163" s="171">
        <f>[89]Janeiro!$F$9</f>
        <v>1.962</v>
      </c>
      <c r="C163" s="163">
        <f t="shared" si="17"/>
        <v>258.24850824850824</v>
      </c>
      <c r="D163" s="164">
        <f t="shared" si="24"/>
        <v>1.081916537867067</v>
      </c>
      <c r="E163" s="164">
        <f>100*(C163/$C$162-1)</f>
        <v>1.0819165378670448</v>
      </c>
      <c r="F163" s="167">
        <f t="shared" si="25"/>
        <v>-3.5398230088495519</v>
      </c>
      <c r="G163" s="170">
        <f t="shared" si="27"/>
        <v>5.088377075522188</v>
      </c>
      <c r="H163" s="166">
        <f t="shared" si="22"/>
        <v>1.5387359836901122</v>
      </c>
      <c r="I163" s="60"/>
    </row>
    <row r="164" spans="1:9" s="51" customFormat="1" ht="15" customHeight="1" x14ac:dyDescent="0.2">
      <c r="A164" s="15" t="s">
        <v>243</v>
      </c>
      <c r="B164" s="171">
        <f>[89]Fevereiro!$F$9</f>
        <v>2.032</v>
      </c>
      <c r="C164" s="163">
        <f t="shared" si="17"/>
        <v>267.46226746226745</v>
      </c>
      <c r="D164" s="164">
        <f t="shared" si="24"/>
        <v>3.5677879714576921</v>
      </c>
      <c r="E164" s="164">
        <f t="shared" ref="E164:E174" si="28">100*(C164/$C$162-1)</f>
        <v>4.6883049974239643</v>
      </c>
      <c r="F164" s="167">
        <f t="shared" si="25"/>
        <v>2.8340080971659853</v>
      </c>
      <c r="G164" s="170">
        <f t="shared" si="27"/>
        <v>6.1650992685475137</v>
      </c>
      <c r="H164" s="166">
        <f t="shared" si="22"/>
        <v>1.485728346456693</v>
      </c>
      <c r="I164" s="60"/>
    </row>
    <row r="165" spans="1:9" s="51" customFormat="1" ht="15" customHeight="1" x14ac:dyDescent="0.2">
      <c r="A165" s="15" t="s">
        <v>244</v>
      </c>
      <c r="B165" s="171">
        <f>[89]Março!$F$9</f>
        <v>2.0579999999999998</v>
      </c>
      <c r="C165" s="163">
        <f t="shared" si="17"/>
        <v>270.8845208845209</v>
      </c>
      <c r="D165" s="164">
        <f t="shared" si="24"/>
        <v>1.2795275590551158</v>
      </c>
      <c r="E165" s="164">
        <f t="shared" si="28"/>
        <v>6.027820710973697</v>
      </c>
      <c r="F165" s="167">
        <f t="shared" si="25"/>
        <v>2.4390243902439046</v>
      </c>
      <c r="G165" s="170">
        <f t="shared" si="27"/>
        <v>-6.198723792160421</v>
      </c>
      <c r="H165" s="166">
        <f t="shared" si="22"/>
        <v>1.4669582118561713</v>
      </c>
      <c r="I165" s="60"/>
    </row>
    <row r="166" spans="1:9" s="51" customFormat="1" ht="15" customHeight="1" x14ac:dyDescent="0.2">
      <c r="A166" s="15" t="s">
        <v>245</v>
      </c>
      <c r="B166" s="171">
        <f>[89]Abril!$F$9</f>
        <v>2.0790000000000002</v>
      </c>
      <c r="C166" s="163">
        <f t="shared" si="17"/>
        <v>273.6486486486487</v>
      </c>
      <c r="D166" s="164">
        <f t="shared" si="24"/>
        <v>1.0204081632653184</v>
      </c>
      <c r="E166" s="164">
        <f t="shared" si="28"/>
        <v>7.1097372488407862</v>
      </c>
      <c r="F166" s="167">
        <f t="shared" si="25"/>
        <v>4.5774647887323994</v>
      </c>
      <c r="G166" s="170">
        <f t="shared" si="27"/>
        <v>-10.580645161290313</v>
      </c>
      <c r="H166" s="166">
        <f t="shared" si="22"/>
        <v>1.4521404521404522</v>
      </c>
      <c r="I166" s="60"/>
    </row>
    <row r="167" spans="1:9" s="51" customFormat="1" ht="15" customHeight="1" x14ac:dyDescent="0.2">
      <c r="A167" s="15" t="s">
        <v>246</v>
      </c>
      <c r="B167" s="171">
        <f>[89]Maio!$F$9</f>
        <v>1.9860000000000002</v>
      </c>
      <c r="C167" s="163">
        <f t="shared" si="17"/>
        <v>261.40751140751144</v>
      </c>
      <c r="D167" s="164">
        <f t="shared" si="24"/>
        <v>-4.4733044733044736</v>
      </c>
      <c r="E167" s="164">
        <f t="shared" si="28"/>
        <v>2.3183925811437245</v>
      </c>
      <c r="F167" s="167">
        <f t="shared" si="25"/>
        <v>1.0687022900763399</v>
      </c>
      <c r="G167" s="170">
        <f t="shared" si="27"/>
        <v>-11.73333333333334</v>
      </c>
      <c r="H167" s="166">
        <f t="shared" si="22"/>
        <v>1.5201409869083584</v>
      </c>
      <c r="I167" s="60"/>
    </row>
    <row r="168" spans="1:9" s="51" customFormat="1" ht="15" customHeight="1" x14ac:dyDescent="0.2">
      <c r="A168" s="15" t="s">
        <v>247</v>
      </c>
      <c r="B168" s="171">
        <f>[89]Junho!$F$9</f>
        <v>1.9259999999999999</v>
      </c>
      <c r="C168" s="163">
        <f t="shared" si="17"/>
        <v>253.51000351000351</v>
      </c>
      <c r="D168" s="164">
        <f t="shared" si="24"/>
        <v>-3.0211480362537846</v>
      </c>
      <c r="E168" s="164">
        <f t="shared" si="28"/>
        <v>-0.77279752704794147</v>
      </c>
      <c r="F168" s="167">
        <f t="shared" si="25"/>
        <v>5.1948051948036422E-2</v>
      </c>
      <c r="G168" s="170">
        <f t="shared" si="27"/>
        <v>-1.2307692307692242</v>
      </c>
      <c r="H168" s="166">
        <f t="shared" si="22"/>
        <v>1.5674974039460021</v>
      </c>
      <c r="I168" s="60"/>
    </row>
    <row r="169" spans="1:9" s="51" customFormat="1" ht="15" customHeight="1" x14ac:dyDescent="0.2">
      <c r="A169" s="15" t="s">
        <v>248</v>
      </c>
      <c r="B169" s="171">
        <f>[89]Julho!$F$9</f>
        <v>1.9179999999999997</v>
      </c>
      <c r="C169" s="163">
        <f t="shared" si="17"/>
        <v>252.45700245700246</v>
      </c>
      <c r="D169" s="164">
        <f t="shared" si="24"/>
        <v>-0.41536863966771254</v>
      </c>
      <c r="E169" s="164">
        <f t="shared" si="28"/>
        <v>-1.1849562081401532</v>
      </c>
      <c r="F169" s="167">
        <f t="shared" si="25"/>
        <v>-0.36363636363638818</v>
      </c>
      <c r="G169" s="170">
        <f t="shared" si="27"/>
        <v>-4.1958041958041647</v>
      </c>
      <c r="H169" s="166">
        <f t="shared" si="22"/>
        <v>1.5740354535974976</v>
      </c>
      <c r="I169" s="60"/>
    </row>
    <row r="170" spans="1:9" s="51" customFormat="1" ht="15" customHeight="1" x14ac:dyDescent="0.2">
      <c r="A170" s="15" t="s">
        <v>249</v>
      </c>
      <c r="B170" s="171">
        <f>[89]Agosto!$F$9</f>
        <v>1.8939999999999999</v>
      </c>
      <c r="C170" s="163">
        <f t="shared" si="17"/>
        <v>249.2979992979993</v>
      </c>
      <c r="D170" s="164">
        <f t="shared" si="24"/>
        <v>-1.2513034410844504</v>
      </c>
      <c r="E170" s="164">
        <f t="shared" si="28"/>
        <v>-2.4214322514168218</v>
      </c>
      <c r="F170" s="167">
        <f t="shared" si="25"/>
        <v>0.69112174375332014</v>
      </c>
      <c r="G170" s="170">
        <f t="shared" si="27"/>
        <v>-5.5832502492522256</v>
      </c>
      <c r="H170" s="166">
        <f t="shared" si="22"/>
        <v>1.5939809926082367</v>
      </c>
      <c r="I170" s="60"/>
    </row>
    <row r="171" spans="1:9" s="51" customFormat="1" ht="15" customHeight="1" x14ac:dyDescent="0.2">
      <c r="A171" s="15" t="s">
        <v>250</v>
      </c>
      <c r="B171" s="171">
        <f>[89]Setembro!$F$9</f>
        <v>1.8979999999999999</v>
      </c>
      <c r="C171" s="163">
        <f t="shared" ref="C171:C200" si="29">100*B171/B$7</f>
        <v>249.82449982449984</v>
      </c>
      <c r="D171" s="164">
        <f t="shared" si="24"/>
        <v>0.21119324181626542</v>
      </c>
      <c r="E171" s="164">
        <f t="shared" si="28"/>
        <v>-2.2153529108707049</v>
      </c>
      <c r="F171" s="167">
        <f t="shared" si="25"/>
        <v>0.37017451084082609</v>
      </c>
      <c r="G171" s="170">
        <f t="shared" si="27"/>
        <v>-5.100000000000005</v>
      </c>
      <c r="H171" s="166">
        <f t="shared" si="22"/>
        <v>1.5906217070600635</v>
      </c>
      <c r="I171" s="60"/>
    </row>
    <row r="172" spans="1:9" s="51" customFormat="1" ht="15" customHeight="1" x14ac:dyDescent="0.2">
      <c r="A172" s="15" t="s">
        <v>251</v>
      </c>
      <c r="B172" s="171">
        <f>[89]Outubro!$F$9</f>
        <v>1.9209999999999998</v>
      </c>
      <c r="C172" s="163">
        <f t="shared" si="29"/>
        <v>252.85187785187787</v>
      </c>
      <c r="D172" s="164">
        <f t="shared" si="24"/>
        <v>1.2118018967333999</v>
      </c>
      <c r="E172" s="164">
        <f t="shared" si="28"/>
        <v>-1.0303967027305738</v>
      </c>
      <c r="F172" s="167">
        <f t="shared" si="25"/>
        <v>2.0180562931492618</v>
      </c>
      <c r="G172" s="170">
        <f t="shared" si="27"/>
        <v>-4.2850024912805313</v>
      </c>
      <c r="H172" s="166">
        <f t="shared" si="22"/>
        <v>1.5715773034877669</v>
      </c>
      <c r="I172" s="60"/>
    </row>
    <row r="173" spans="1:9" s="51" customFormat="1" ht="15" customHeight="1" x14ac:dyDescent="0.2">
      <c r="A173" s="15" t="s">
        <v>252</v>
      </c>
      <c r="B173" s="171">
        <f>[89]Novembro!$F$9</f>
        <v>1.9450000000000001</v>
      </c>
      <c r="C173" s="163">
        <f t="shared" si="29"/>
        <v>256.01088101088101</v>
      </c>
      <c r="D173" s="164">
        <f t="shared" si="24"/>
        <v>1.2493492972410314</v>
      </c>
      <c r="E173" s="164">
        <f t="shared" si="28"/>
        <v>0.20607934054608368</v>
      </c>
      <c r="F173" s="167">
        <f t="shared" si="25"/>
        <v>1.4606155451225789</v>
      </c>
      <c r="G173" s="170">
        <f t="shared" si="27"/>
        <v>-4.6101029916625897</v>
      </c>
      <c r="H173" s="166">
        <f t="shared" si="22"/>
        <v>1.5521850899742931</v>
      </c>
      <c r="I173" s="60"/>
    </row>
    <row r="174" spans="1:9" s="51" customFormat="1" ht="15" customHeight="1" x14ac:dyDescent="0.2">
      <c r="A174" s="15" t="s">
        <v>253</v>
      </c>
      <c r="B174" s="171">
        <f>[89]Dezembro!$F$9</f>
        <v>2.0350000000000001</v>
      </c>
      <c r="C174" s="163">
        <f t="shared" si="29"/>
        <v>267.85714285714289</v>
      </c>
      <c r="D174" s="164">
        <f t="shared" si="24"/>
        <v>4.6272493573264795</v>
      </c>
      <c r="E174" s="164">
        <f t="shared" si="28"/>
        <v>4.8428645028335771</v>
      </c>
      <c r="F174" s="167">
        <f t="shared" si="25"/>
        <v>4.8428645028335771</v>
      </c>
      <c r="G174" s="170">
        <f t="shared" si="27"/>
        <v>-1.1175898931000905</v>
      </c>
      <c r="H174" s="166">
        <f t="shared" si="22"/>
        <v>1.4835380835380836</v>
      </c>
      <c r="I174" s="60"/>
    </row>
    <row r="175" spans="1:9" s="51" customFormat="1" ht="15" customHeight="1" x14ac:dyDescent="0.2">
      <c r="A175" s="15" t="s">
        <v>254</v>
      </c>
      <c r="B175" s="171">
        <f>'[90]jan-14'!$F$9</f>
        <v>2.0500000000000003</v>
      </c>
      <c r="C175" s="163">
        <f t="shared" si="29"/>
        <v>269.83151983151987</v>
      </c>
      <c r="D175" s="164">
        <f t="shared" si="24"/>
        <v>0.73710073710073765</v>
      </c>
      <c r="E175" s="164">
        <f>100*(C175/$C$174-1)</f>
        <v>0.73710073710073765</v>
      </c>
      <c r="F175" s="167">
        <f t="shared" si="25"/>
        <v>4.4852191641182593</v>
      </c>
      <c r="G175" s="170">
        <f t="shared" si="27"/>
        <v>0.78662733529992757</v>
      </c>
      <c r="H175" s="166">
        <f t="shared" si="22"/>
        <v>1.4726829268292683</v>
      </c>
      <c r="I175" s="60"/>
    </row>
    <row r="176" spans="1:9" s="51" customFormat="1" ht="15" customHeight="1" x14ac:dyDescent="0.2">
      <c r="A176" s="15" t="s">
        <v>255</v>
      </c>
      <c r="B176" s="171">
        <f>'[90]fev-14'!$F$9</f>
        <v>2.113</v>
      </c>
      <c r="C176" s="163">
        <f t="shared" si="29"/>
        <v>278.12390312390318</v>
      </c>
      <c r="D176" s="164">
        <f t="shared" si="24"/>
        <v>3.0731707317072976</v>
      </c>
      <c r="E176" s="164">
        <f t="shared" ref="E176:E186" si="30">100*(C176/$C$174-1)</f>
        <v>3.8329238329238402</v>
      </c>
      <c r="F176" s="167">
        <f t="shared" si="25"/>
        <v>3.9862204724409711</v>
      </c>
      <c r="G176" s="170">
        <f t="shared" si="27"/>
        <v>6.9331983805668296</v>
      </c>
      <c r="H176" s="166">
        <f t="shared" si="22"/>
        <v>1.4287742546142925</v>
      </c>
      <c r="I176" s="60"/>
    </row>
    <row r="177" spans="1:9" s="51" customFormat="1" ht="15" customHeight="1" x14ac:dyDescent="0.2">
      <c r="A177" s="15" t="s">
        <v>256</v>
      </c>
      <c r="B177" s="171">
        <f>'[90]mar-14'!$F$9</f>
        <v>2.1840000000000006</v>
      </c>
      <c r="C177" s="163">
        <f t="shared" si="29"/>
        <v>287.46928746928756</v>
      </c>
      <c r="D177" s="164">
        <f t="shared" si="24"/>
        <v>3.3601514434453694</v>
      </c>
      <c r="E177" s="164">
        <f t="shared" si="30"/>
        <v>7.321867321867348</v>
      </c>
      <c r="F177" s="167">
        <f t="shared" si="25"/>
        <v>6.1224489795918657</v>
      </c>
      <c r="G177" s="170">
        <f t="shared" si="27"/>
        <v>8.7108013937282625</v>
      </c>
      <c r="H177" s="166">
        <f t="shared" si="22"/>
        <v>1.3823260073260071</v>
      </c>
      <c r="I177" s="60"/>
    </row>
    <row r="178" spans="1:9" s="51" customFormat="1" ht="15" customHeight="1" x14ac:dyDescent="0.2">
      <c r="A178" s="15" t="s">
        <v>257</v>
      </c>
      <c r="B178" s="171">
        <f>'[90]abr-14'!$F$9</f>
        <v>2.1840000000000006</v>
      </c>
      <c r="C178" s="163">
        <f t="shared" si="29"/>
        <v>287.46928746928756</v>
      </c>
      <c r="D178" s="164">
        <f t="shared" si="24"/>
        <v>0</v>
      </c>
      <c r="E178" s="164">
        <f t="shared" si="30"/>
        <v>7.321867321867348</v>
      </c>
      <c r="F178" s="167">
        <f t="shared" si="25"/>
        <v>5.0505050505050608</v>
      </c>
      <c r="G178" s="170">
        <f t="shared" si="27"/>
        <v>9.8591549295774961</v>
      </c>
      <c r="H178" s="166">
        <f t="shared" si="22"/>
        <v>1.3823260073260071</v>
      </c>
      <c r="I178" s="60"/>
    </row>
    <row r="179" spans="1:9" s="51" customFormat="1" ht="15" customHeight="1" x14ac:dyDescent="0.2">
      <c r="A179" s="15" t="s">
        <v>258</v>
      </c>
      <c r="B179" s="171">
        <f>'[90]mai-14'!$F$9</f>
        <v>2.1649999999999996</v>
      </c>
      <c r="C179" s="163">
        <f t="shared" si="29"/>
        <v>284.96840996840996</v>
      </c>
      <c r="D179" s="164">
        <f t="shared" si="24"/>
        <v>-0.86996336996341128</v>
      </c>
      <c r="E179" s="164">
        <f t="shared" si="30"/>
        <v>6.3882063882063633</v>
      </c>
      <c r="F179" s="167">
        <f t="shared" si="25"/>
        <v>9.0130916414904227</v>
      </c>
      <c r="G179" s="170">
        <f t="shared" si="27"/>
        <v>10.178117048346035</v>
      </c>
      <c r="H179" s="166">
        <f t="shared" si="22"/>
        <v>1.39445727482679</v>
      </c>
      <c r="I179" s="60"/>
    </row>
    <row r="180" spans="1:9" s="51" customFormat="1" ht="15" customHeight="1" x14ac:dyDescent="0.2">
      <c r="A180" s="15" t="s">
        <v>259</v>
      </c>
      <c r="B180" s="171">
        <f>'[90]jun-14'!$F$9</f>
        <v>2.0579999999999998</v>
      </c>
      <c r="C180" s="163">
        <f t="shared" si="29"/>
        <v>270.8845208845209</v>
      </c>
      <c r="D180" s="164">
        <f t="shared" si="24"/>
        <v>-4.9422632794457133</v>
      </c>
      <c r="E180" s="164">
        <f t="shared" si="30"/>
        <v>1.1302211302211207</v>
      </c>
      <c r="F180" s="167">
        <f t="shared" si="25"/>
        <v>6.8535825545171347</v>
      </c>
      <c r="G180" s="170">
        <f t="shared" si="27"/>
        <v>6.909090909090887</v>
      </c>
      <c r="H180" s="166">
        <f t="shared" si="22"/>
        <v>1.4669582118561713</v>
      </c>
      <c r="I180" s="60"/>
    </row>
    <row r="181" spans="1:9" s="51" customFormat="1" ht="15" customHeight="1" x14ac:dyDescent="0.2">
      <c r="A181" s="15" t="s">
        <v>260</v>
      </c>
      <c r="B181" s="171">
        <f>'[90]jul-14'!$F$9</f>
        <v>2.0399999999999996</v>
      </c>
      <c r="C181" s="163">
        <f t="shared" si="29"/>
        <v>268.51526851526853</v>
      </c>
      <c r="D181" s="164">
        <f t="shared" si="24"/>
        <v>-0.87463556851312685</v>
      </c>
      <c r="E181" s="164">
        <f t="shared" si="30"/>
        <v>0.24570024570023108</v>
      </c>
      <c r="F181" s="167">
        <f t="shared" si="25"/>
        <v>6.3607924921793568</v>
      </c>
      <c r="G181" s="170">
        <f t="shared" si="27"/>
        <v>5.9740259740259427</v>
      </c>
      <c r="H181" s="166">
        <f t="shared" si="22"/>
        <v>1.479901960784314</v>
      </c>
      <c r="I181" s="60"/>
    </row>
    <row r="182" spans="1:9" s="51" customFormat="1" ht="15" customHeight="1" x14ac:dyDescent="0.2">
      <c r="A182" s="15" t="s">
        <v>261</v>
      </c>
      <c r="B182" s="171">
        <f>'[90]ago-14'!$F$9</f>
        <v>2.0089999999999999</v>
      </c>
      <c r="C182" s="163">
        <f t="shared" si="29"/>
        <v>264.43488943488944</v>
      </c>
      <c r="D182" s="164">
        <f t="shared" si="24"/>
        <v>-1.5196078431372384</v>
      </c>
      <c r="E182" s="164">
        <f t="shared" si="30"/>
        <v>-1.2776412776412838</v>
      </c>
      <c r="F182" s="167">
        <f t="shared" si="25"/>
        <v>6.0718057022175254</v>
      </c>
      <c r="G182" s="170">
        <f t="shared" si="27"/>
        <v>6.8048910154173248</v>
      </c>
      <c r="H182" s="166">
        <f t="shared" si="22"/>
        <v>1.502737680438029</v>
      </c>
      <c r="I182" s="60"/>
    </row>
    <row r="183" spans="1:9" s="51" customFormat="1" ht="15" customHeight="1" x14ac:dyDescent="0.2">
      <c r="A183" s="15" t="s">
        <v>262</v>
      </c>
      <c r="B183" s="171">
        <f>'[90]set-14'!$F$9</f>
        <v>2.0059999999999998</v>
      </c>
      <c r="C183" s="163">
        <f t="shared" si="29"/>
        <v>264.040014040014</v>
      </c>
      <c r="D183" s="164">
        <f t="shared" si="24"/>
        <v>-0.14932802389249211</v>
      </c>
      <c r="E183" s="164">
        <f t="shared" si="30"/>
        <v>-1.4250614250614468</v>
      </c>
      <c r="F183" s="167">
        <f t="shared" si="25"/>
        <v>5.6902002107481309</v>
      </c>
      <c r="G183" s="170">
        <f t="shared" si="27"/>
        <v>6.0814383923849524</v>
      </c>
      <c r="H183" s="166">
        <f t="shared" si="22"/>
        <v>1.5049850448654041</v>
      </c>
      <c r="I183" s="60"/>
    </row>
    <row r="184" spans="1:9" s="51" customFormat="1" ht="15" customHeight="1" x14ac:dyDescent="0.2">
      <c r="A184" s="15" t="s">
        <v>263</v>
      </c>
      <c r="B184" s="171">
        <f>'[90]out-14'!$F$9</f>
        <v>1.9970000000000001</v>
      </c>
      <c r="C184" s="163">
        <f t="shared" si="29"/>
        <v>262.8553878553879</v>
      </c>
      <c r="D184" s="164">
        <f t="shared" si="24"/>
        <v>-0.44865403788632019</v>
      </c>
      <c r="E184" s="164">
        <f t="shared" si="30"/>
        <v>-1.8673218673218583</v>
      </c>
      <c r="F184" s="167">
        <f t="shared" si="25"/>
        <v>3.9562727745965809</v>
      </c>
      <c r="G184" s="170">
        <f t="shared" si="27"/>
        <v>6.0541688794477411</v>
      </c>
      <c r="H184" s="166">
        <f t="shared" si="22"/>
        <v>1.5117676514772158</v>
      </c>
      <c r="I184" s="60"/>
    </row>
    <row r="185" spans="1:9" s="51" customFormat="1" ht="15" customHeight="1" x14ac:dyDescent="0.2">
      <c r="A185" s="15" t="s">
        <v>264</v>
      </c>
      <c r="B185" s="171">
        <f>'[90]nov-14'!$F$9</f>
        <v>2.028</v>
      </c>
      <c r="C185" s="163">
        <f t="shared" si="29"/>
        <v>266.93576693576699</v>
      </c>
      <c r="D185" s="164">
        <f t="shared" si="24"/>
        <v>1.5523284927390968</v>
      </c>
      <c r="E185" s="164">
        <f t="shared" si="30"/>
        <v>-0.34398034398033239</v>
      </c>
      <c r="F185" s="167">
        <f t="shared" si="25"/>
        <v>4.2673521850900009</v>
      </c>
      <c r="G185" s="170">
        <f t="shared" si="27"/>
        <v>5.7902973395931312</v>
      </c>
      <c r="H185" s="166">
        <f t="shared" si="22"/>
        <v>1.4886587771203157</v>
      </c>
      <c r="I185" s="60"/>
    </row>
    <row r="186" spans="1:9" s="51" customFormat="1" ht="15" customHeight="1" x14ac:dyDescent="0.2">
      <c r="A186" s="15" t="s">
        <v>265</v>
      </c>
      <c r="B186" s="171">
        <f>'[90]dez-14'!$F$9</f>
        <v>2.048</v>
      </c>
      <c r="C186" s="163">
        <f t="shared" si="29"/>
        <v>269.56826956826961</v>
      </c>
      <c r="D186" s="164">
        <f t="shared" si="24"/>
        <v>0.98619329388560661</v>
      </c>
      <c r="E186" s="164">
        <f t="shared" si="30"/>
        <v>0.63882063882063633</v>
      </c>
      <c r="F186" s="167">
        <f t="shared" si="25"/>
        <v>0.63882063882063633</v>
      </c>
      <c r="G186" s="170">
        <f t="shared" si="27"/>
        <v>5.5126223596084323</v>
      </c>
      <c r="H186" s="166">
        <f t="shared" si="22"/>
        <v>1.47412109375</v>
      </c>
      <c r="I186" s="60"/>
    </row>
    <row r="187" spans="1:9" s="51" customFormat="1" ht="15" customHeight="1" x14ac:dyDescent="0.2">
      <c r="A187" s="15" t="s">
        <v>266</v>
      </c>
      <c r="B187" s="171">
        <f>'[91]jan-15'!$F$9</f>
        <v>2.0859999999999999</v>
      </c>
      <c r="C187" s="163">
        <f t="shared" si="29"/>
        <v>274.5700245700246</v>
      </c>
      <c r="D187" s="164">
        <f t="shared" si="24"/>
        <v>1.85546875</v>
      </c>
      <c r="E187" s="164">
        <f t="shared" ref="E187:E198" si="31">100*(C187/$C$186-1)</f>
        <v>1.85546875</v>
      </c>
      <c r="F187" s="167">
        <f t="shared" si="25"/>
        <v>1.7560975609756113</v>
      </c>
      <c r="G187" s="170">
        <f t="shared" si="27"/>
        <v>6.3200815494393714</v>
      </c>
      <c r="H187" s="166">
        <f t="shared" si="22"/>
        <v>1.4472674976030682</v>
      </c>
      <c r="I187" s="60"/>
    </row>
    <row r="188" spans="1:9" s="51" customFormat="1" ht="15" customHeight="1" x14ac:dyDescent="0.2">
      <c r="A188" s="15" t="s">
        <v>267</v>
      </c>
      <c r="B188" s="171">
        <f>'[91]fev-15'!$F$9</f>
        <v>2.2400000000000002</v>
      </c>
      <c r="C188" s="163">
        <f t="shared" si="29"/>
        <v>294.84029484029492</v>
      </c>
      <c r="D188" s="164">
        <f t="shared" si="24"/>
        <v>7.3825503355704925</v>
      </c>
      <c r="E188" s="164">
        <f t="shared" si="31"/>
        <v>9.375</v>
      </c>
      <c r="F188" s="167">
        <f t="shared" si="25"/>
        <v>6.0104117368670273</v>
      </c>
      <c r="G188" s="170">
        <f t="shared" si="27"/>
        <v>10.236220472440971</v>
      </c>
      <c r="H188" s="166">
        <f t="shared" si="22"/>
        <v>1.3477678571428571</v>
      </c>
      <c r="I188" s="60"/>
    </row>
    <row r="189" spans="1:9" s="51" customFormat="1" ht="15" customHeight="1" x14ac:dyDescent="0.2">
      <c r="A189" s="15" t="s">
        <v>268</v>
      </c>
      <c r="B189" s="171">
        <f>'[91]mar-15'!$F$9</f>
        <v>2.214</v>
      </c>
      <c r="C189" s="163">
        <f t="shared" si="29"/>
        <v>291.41804141804147</v>
      </c>
      <c r="D189" s="164">
        <f t="shared" si="24"/>
        <v>-1.1607142857142927</v>
      </c>
      <c r="E189" s="164">
        <f t="shared" si="31"/>
        <v>8.10546875</v>
      </c>
      <c r="F189" s="167">
        <f t="shared" si="25"/>
        <v>1.3736263736263465</v>
      </c>
      <c r="G189" s="170">
        <f t="shared" si="27"/>
        <v>7.5801749271137142</v>
      </c>
      <c r="H189" s="166">
        <f t="shared" si="22"/>
        <v>1.363595302619693</v>
      </c>
      <c r="I189" s="60"/>
    </row>
    <row r="190" spans="1:9" s="51" customFormat="1" ht="15" customHeight="1" x14ac:dyDescent="0.2">
      <c r="A190" s="15" t="s">
        <v>286</v>
      </c>
      <c r="B190" s="171">
        <f>'[91]abr-15'!$F$9</f>
        <v>2.1760000000000002</v>
      </c>
      <c r="C190" s="163">
        <f t="shared" si="29"/>
        <v>286.41628641628648</v>
      </c>
      <c r="D190" s="164">
        <f t="shared" si="24"/>
        <v>-1.7163504968382925</v>
      </c>
      <c r="E190" s="164">
        <f t="shared" si="31"/>
        <v>6.25</v>
      </c>
      <c r="F190" s="167">
        <f t="shared" si="25"/>
        <v>-0.3663003663003761</v>
      </c>
      <c r="G190" s="170">
        <f t="shared" si="27"/>
        <v>4.6657046657046619</v>
      </c>
      <c r="H190" s="166">
        <f t="shared" si="22"/>
        <v>1.3874080882352942</v>
      </c>
      <c r="I190" s="60"/>
    </row>
    <row r="191" spans="1:9" s="51" customFormat="1" ht="15" customHeight="1" x14ac:dyDescent="0.2">
      <c r="A191" s="15" t="s">
        <v>287</v>
      </c>
      <c r="B191" s="171">
        <f>'[91]mai-15'!$F$9</f>
        <v>2.1339999999999999</v>
      </c>
      <c r="C191" s="163">
        <f t="shared" si="29"/>
        <v>280.88803088803087</v>
      </c>
      <c r="D191" s="164">
        <f t="shared" si="24"/>
        <v>-1.9301470588235392</v>
      </c>
      <c r="E191" s="164">
        <f t="shared" si="31"/>
        <v>4.1992187499999778</v>
      </c>
      <c r="F191" s="167">
        <f t="shared" si="25"/>
        <v>-1.4318706697459604</v>
      </c>
      <c r="G191" s="170">
        <f t="shared" si="27"/>
        <v>7.4521651560926383</v>
      </c>
      <c r="H191" s="166">
        <f t="shared" si="22"/>
        <v>1.4147141518275541</v>
      </c>
      <c r="I191" s="60"/>
    </row>
    <row r="192" spans="1:9" s="51" customFormat="1" ht="15" customHeight="1" x14ac:dyDescent="0.2">
      <c r="A192" s="15" t="s">
        <v>288</v>
      </c>
      <c r="B192" s="171">
        <f>'[91]jun-15'!$F$9</f>
        <v>2.1039999999999996</v>
      </c>
      <c r="C192" s="163">
        <f t="shared" si="29"/>
        <v>276.93927693927691</v>
      </c>
      <c r="D192" s="164">
        <f t="shared" si="24"/>
        <v>-1.4058106841612128</v>
      </c>
      <c r="E192" s="164">
        <f t="shared" si="31"/>
        <v>2.7343749999999778</v>
      </c>
      <c r="F192" s="167">
        <f t="shared" si="25"/>
        <v>2.235179786200181</v>
      </c>
      <c r="G192" s="170">
        <f t="shared" si="27"/>
        <v>9.2419522326064207</v>
      </c>
      <c r="H192" s="166">
        <f t="shared" si="22"/>
        <v>1.4348859315589357</v>
      </c>
      <c r="I192" s="60"/>
    </row>
    <row r="193" spans="1:9" s="51" customFormat="1" ht="15" customHeight="1" x14ac:dyDescent="0.2">
      <c r="A193" s="15" t="s">
        <v>289</v>
      </c>
      <c r="B193" s="171">
        <f>'[91]jul-15'!$F$9</f>
        <v>2.0850000000000004</v>
      </c>
      <c r="C193" s="163">
        <f t="shared" si="29"/>
        <v>274.43839943839953</v>
      </c>
      <c r="D193" s="164">
        <f t="shared" si="24"/>
        <v>-0.90304182509501896</v>
      </c>
      <c r="E193" s="164">
        <f t="shared" si="31"/>
        <v>1.8066406250000222</v>
      </c>
      <c r="F193" s="167">
        <f t="shared" si="25"/>
        <v>2.205882352941213</v>
      </c>
      <c r="G193" s="170">
        <f t="shared" si="27"/>
        <v>8.7069864442127489</v>
      </c>
      <c r="H193" s="166">
        <f t="shared" si="22"/>
        <v>1.4479616306954435</v>
      </c>
      <c r="I193" s="60"/>
    </row>
    <row r="194" spans="1:9" s="51" customFormat="1" ht="15" customHeight="1" x14ac:dyDescent="0.2">
      <c r="A194" s="15" t="s">
        <v>290</v>
      </c>
      <c r="B194" s="171">
        <f>'[91]ago-15'!$F$9</f>
        <v>2.0459999999999998</v>
      </c>
      <c r="C194" s="163">
        <f t="shared" si="29"/>
        <v>269.3050193050193</v>
      </c>
      <c r="D194" s="164">
        <f t="shared" si="24"/>
        <v>-1.8705035971223305</v>
      </c>
      <c r="E194" s="164">
        <f t="shared" si="31"/>
        <v>-9.7656250000022204E-2</v>
      </c>
      <c r="F194" s="167">
        <f t="shared" si="25"/>
        <v>1.8417122946739584</v>
      </c>
      <c r="G194" s="170">
        <f t="shared" si="27"/>
        <v>8.0253431890179527</v>
      </c>
      <c r="H194" s="166">
        <f t="shared" si="22"/>
        <v>1.4755620723362661</v>
      </c>
      <c r="I194" s="60"/>
    </row>
    <row r="195" spans="1:9" s="51" customFormat="1" ht="15" customHeight="1" x14ac:dyDescent="0.2">
      <c r="A195" s="15" t="s">
        <v>291</v>
      </c>
      <c r="B195" s="171">
        <f>'[91]set-15'!$F$9</f>
        <v>2.0850000000000004</v>
      </c>
      <c r="C195" s="163">
        <f t="shared" si="29"/>
        <v>274.43839943839953</v>
      </c>
      <c r="D195" s="164">
        <f t="shared" si="24"/>
        <v>1.9061583577712815</v>
      </c>
      <c r="E195" s="164">
        <f t="shared" si="31"/>
        <v>1.8066406250000222</v>
      </c>
      <c r="F195" s="167">
        <f t="shared" si="25"/>
        <v>3.93818544366904</v>
      </c>
      <c r="G195" s="170">
        <f t="shared" si="27"/>
        <v>9.8524762908324792</v>
      </c>
      <c r="H195" s="166">
        <f t="shared" si="22"/>
        <v>1.4479616306954435</v>
      </c>
      <c r="I195" s="60"/>
    </row>
    <row r="196" spans="1:9" s="51" customFormat="1" ht="15" customHeight="1" x14ac:dyDescent="0.2">
      <c r="A196" s="15" t="s">
        <v>292</v>
      </c>
      <c r="B196" s="171">
        <f>'[91]out-15'!$F$9</f>
        <v>2.4</v>
      </c>
      <c r="C196" s="163">
        <f t="shared" si="29"/>
        <v>315.90031590031595</v>
      </c>
      <c r="D196" s="164">
        <f t="shared" si="24"/>
        <v>15.107913669064722</v>
      </c>
      <c r="E196" s="164">
        <f t="shared" si="31"/>
        <v>17.1875</v>
      </c>
      <c r="F196" s="167">
        <f t="shared" si="25"/>
        <v>20.180270405608415</v>
      </c>
      <c r="G196" s="170">
        <f t="shared" si="27"/>
        <v>24.934929724102027</v>
      </c>
      <c r="H196" s="166">
        <f t="shared" si="22"/>
        <v>1.2579166666666668</v>
      </c>
      <c r="I196" s="60"/>
    </row>
    <row r="197" spans="1:9" s="51" customFormat="1" ht="15" customHeight="1" x14ac:dyDescent="0.2">
      <c r="A197" s="15" t="str">
        <f>[93]Gasolina!A197</f>
        <v>NOVEMBRO|15</v>
      </c>
      <c r="B197" s="171">
        <f>'[91]nov-15'!$F$9</f>
        <v>2.6309999999999998</v>
      </c>
      <c r="C197" s="163">
        <f t="shared" si="29"/>
        <v>346.30572130572131</v>
      </c>
      <c r="D197" s="164">
        <f t="shared" si="24"/>
        <v>9.6249999999999947</v>
      </c>
      <c r="E197" s="164">
        <f t="shared" si="31"/>
        <v>28.466796874999979</v>
      </c>
      <c r="F197" s="167">
        <f t="shared" si="25"/>
        <v>29.733727810650869</v>
      </c>
      <c r="G197" s="170">
        <f t="shared" si="27"/>
        <v>35.269922879177386</v>
      </c>
      <c r="H197" s="166">
        <f t="shared" si="22"/>
        <v>1.1474724439376665</v>
      </c>
      <c r="I197" s="60"/>
    </row>
    <row r="198" spans="1:9" s="51" customFormat="1" ht="15" customHeight="1" x14ac:dyDescent="0.2">
      <c r="A198" s="15" t="str">
        <f>[93]Gasolina!A198</f>
        <v>DEZEMBRO|15</v>
      </c>
      <c r="B198" s="171">
        <f>'[91]dez-15'!$F$9</f>
        <v>2.6659999999999999</v>
      </c>
      <c r="C198" s="163">
        <f t="shared" si="29"/>
        <v>350.91260091260091</v>
      </c>
      <c r="D198" s="164">
        <f t="shared" si="24"/>
        <v>1.330292664386179</v>
      </c>
      <c r="E198" s="164">
        <f t="shared" si="31"/>
        <v>30.175781249999979</v>
      </c>
      <c r="F198" s="167">
        <f t="shared" si="25"/>
        <v>30.175781249999979</v>
      </c>
      <c r="G198" s="170">
        <f t="shared" si="27"/>
        <v>31.007371007370988</v>
      </c>
      <c r="H198" s="166">
        <f t="shared" si="22"/>
        <v>1.1324081020255063</v>
      </c>
      <c r="I198" s="60"/>
    </row>
    <row r="199" spans="1:9" s="51" customFormat="1" ht="15" customHeight="1" x14ac:dyDescent="0.2">
      <c r="A199" s="15" t="str">
        <f>[93]Gasolina!A199</f>
        <v>JANEIRO|16</v>
      </c>
      <c r="B199" s="171">
        <f>'[92]jan-16'!$F$9</f>
        <v>2.7740000000000005</v>
      </c>
      <c r="C199" s="163">
        <f t="shared" si="29"/>
        <v>365.12811512811521</v>
      </c>
      <c r="D199" s="164">
        <f t="shared" si="24"/>
        <v>4.05101275318831</v>
      </c>
      <c r="E199" s="164">
        <f>100*(C199/$C$198-1)</f>
        <v>4.0510127531883322</v>
      </c>
      <c r="F199" s="167">
        <f t="shared" si="25"/>
        <v>32.981783317353795</v>
      </c>
      <c r="G199" s="170">
        <f t="shared" si="27"/>
        <v>35.317073170731717</v>
      </c>
      <c r="H199" s="166">
        <f t="shared" si="22"/>
        <v>1.0883201153568853</v>
      </c>
      <c r="I199" s="60"/>
    </row>
    <row r="200" spans="1:9" s="51" customFormat="1" ht="15" customHeight="1" x14ac:dyDescent="0.2">
      <c r="A200" s="15" t="str">
        <f>[93]Gasolina!A200</f>
        <v>FEVEREIRO|16</v>
      </c>
      <c r="B200" s="171">
        <f>'[92]fev-16'!$F$9</f>
        <v>2.831</v>
      </c>
      <c r="C200" s="163">
        <f t="shared" si="29"/>
        <v>372.63074763074769</v>
      </c>
      <c r="D200" s="164">
        <f t="shared" si="24"/>
        <v>2.0547945205479312</v>
      </c>
      <c r="E200" s="164">
        <f>100*(C200/$C$198-1)</f>
        <v>6.1890472618154835</v>
      </c>
      <c r="F200" s="167">
        <f t="shared" si="25"/>
        <v>26.383928571428548</v>
      </c>
      <c r="G200" s="170">
        <f t="shared" si="27"/>
        <v>33.980123047799339</v>
      </c>
      <c r="H200" s="166">
        <f t="shared" si="22"/>
        <v>1.0664076298127871</v>
      </c>
      <c r="I200" s="60"/>
    </row>
    <row r="201" spans="1:9" s="51" customFormat="1" ht="15" customHeight="1" x14ac:dyDescent="0.2">
      <c r="A201" s="15" t="str">
        <f>[93]Gasolina!A201</f>
        <v>MARÇO|16</v>
      </c>
      <c r="B201" s="171">
        <f>'[92]mar-16'!$F$9</f>
        <v>2.8780000000000001</v>
      </c>
      <c r="C201" s="163">
        <f>100*B201/B$7</f>
        <v>378.81712881712889</v>
      </c>
      <c r="D201" s="164">
        <f>100*(B201/B200-1)</f>
        <v>1.6601907453196896</v>
      </c>
      <c r="E201" s="164">
        <f>100*(C201/$C$198-1)</f>
        <v>7.9519879969992768</v>
      </c>
      <c r="F201" s="167">
        <f>(100*(C201/C189-1))</f>
        <v>29.990966576332422</v>
      </c>
      <c r="G201" s="170">
        <f>100*(C201/C177-1)</f>
        <v>31.776556776556752</v>
      </c>
      <c r="H201" s="166">
        <f t="shared" si="22"/>
        <v>1.0489923558026408</v>
      </c>
      <c r="I201" s="60"/>
    </row>
    <row r="202" spans="1:9" s="51" customFormat="1" ht="15" customHeight="1" x14ac:dyDescent="0.2">
      <c r="A202" s="15" t="str">
        <f>[93]Gasolina!A202</f>
        <v>ABRIL|16</v>
      </c>
      <c r="B202" s="171">
        <f>'[92]abr-16'!$F$9</f>
        <v>2.6219999999999999</v>
      </c>
      <c r="C202" s="163">
        <f>100*B202/B$7</f>
        <v>345.12109512109515</v>
      </c>
      <c r="D202" s="164">
        <f>100*(B202/B201-1)</f>
        <v>-8.8950660180681105</v>
      </c>
      <c r="E202" s="164">
        <f>100*(C202/$C$198-1)</f>
        <v>-1.6504126031507749</v>
      </c>
      <c r="F202" s="167">
        <f>(100*(C202/C190-1))</f>
        <v>20.496323529411754</v>
      </c>
      <c r="G202" s="170">
        <f>100*(C202/C178-1)</f>
        <v>20.05494505494503</v>
      </c>
      <c r="H202" s="166">
        <f t="shared" ref="H202:H226" si="32">+B$226/B202</f>
        <v>1.1514111365369948</v>
      </c>
      <c r="I202" s="60"/>
    </row>
    <row r="203" spans="1:9" s="51" customFormat="1" ht="15" customHeight="1" x14ac:dyDescent="0.2">
      <c r="A203" s="15" t="str">
        <f>[93]Gasolina!A203</f>
        <v>MAIO|16</v>
      </c>
      <c r="B203" s="171">
        <f>'[92]mai-16'!$F$9</f>
        <v>2.4259999999999997</v>
      </c>
      <c r="C203" s="163">
        <f t="shared" ref="C203:C211" si="33">100*B203/B$7</f>
        <v>319.32256932256934</v>
      </c>
      <c r="D203" s="164">
        <f t="shared" ref="D203:D211" si="34">100*(B203/B202-1)</f>
        <v>-7.4752097635392918</v>
      </c>
      <c r="E203" s="164">
        <f t="shared" ref="E203:E210" si="35">100*(C203/$C$198-1)</f>
        <v>-9.0022505626406577</v>
      </c>
      <c r="F203" s="167">
        <f t="shared" ref="F203:F211" si="36">(100*(C203/C191-1))</f>
        <v>13.683223992502347</v>
      </c>
      <c r="G203" s="170">
        <f t="shared" ref="G203:G211" si="37">100*(C203/C179-1)</f>
        <v>12.055427251732119</v>
      </c>
      <c r="H203" s="166">
        <f t="shared" si="32"/>
        <v>1.2444352844187965</v>
      </c>
      <c r="I203" s="60"/>
    </row>
    <row r="204" spans="1:9" s="51" customFormat="1" ht="15" customHeight="1" x14ac:dyDescent="0.2">
      <c r="A204" s="15" t="str">
        <f>[93]Gasolina!A204</f>
        <v>JUNHO|16</v>
      </c>
      <c r="B204" s="171">
        <f>'[92]jun-16'!$F$9</f>
        <v>2.4740000000000002</v>
      </c>
      <c r="C204" s="163">
        <f t="shared" si="33"/>
        <v>325.64057564057572</v>
      </c>
      <c r="D204" s="164">
        <f t="shared" si="34"/>
        <v>1.9785655399835234</v>
      </c>
      <c r="E204" s="164">
        <f t="shared" si="35"/>
        <v>-7.2018004501125059</v>
      </c>
      <c r="F204" s="167">
        <f t="shared" si="36"/>
        <v>17.585551330798509</v>
      </c>
      <c r="G204" s="170">
        <f t="shared" si="37"/>
        <v>20.213799805636555</v>
      </c>
      <c r="H204" s="166">
        <f t="shared" si="32"/>
        <v>1.2202910266774454</v>
      </c>
      <c r="I204" s="60"/>
    </row>
    <row r="205" spans="1:9" s="51" customFormat="1" ht="15" customHeight="1" x14ac:dyDescent="0.2">
      <c r="A205" s="15" t="str">
        <f>[93]Gasolina!A205</f>
        <v>JULHO|16</v>
      </c>
      <c r="B205" s="171">
        <f>'[92]jul-16'!$F$9</f>
        <v>2.4449999999999998</v>
      </c>
      <c r="C205" s="163">
        <f t="shared" si="33"/>
        <v>321.82344682344683</v>
      </c>
      <c r="D205" s="164">
        <f t="shared" si="34"/>
        <v>-1.1721907841552248</v>
      </c>
      <c r="E205" s="164">
        <f t="shared" si="35"/>
        <v>-8.2895723930982772</v>
      </c>
      <c r="F205" s="167">
        <f t="shared" si="36"/>
        <v>17.266187050359672</v>
      </c>
      <c r="G205" s="170">
        <f t="shared" si="37"/>
        <v>19.852941176470583</v>
      </c>
      <c r="H205" s="166">
        <f t="shared" si="32"/>
        <v>1.2347648261758692</v>
      </c>
      <c r="I205" s="60"/>
    </row>
    <row r="206" spans="1:9" s="51" customFormat="1" ht="15" customHeight="1" x14ac:dyDescent="0.2">
      <c r="A206" s="15" t="str">
        <f>[93]Gasolina!A206</f>
        <v>AGOSTO|16</v>
      </c>
      <c r="B206" s="171">
        <f>'[92]ago-16'!$F$9</f>
        <v>2.4809999999999994</v>
      </c>
      <c r="C206" s="163">
        <f t="shared" si="33"/>
        <v>326.5619515619515</v>
      </c>
      <c r="D206" s="164">
        <f t="shared" si="34"/>
        <v>1.4723926380368013</v>
      </c>
      <c r="E206" s="164">
        <f t="shared" si="35"/>
        <v>-6.9392348087021887</v>
      </c>
      <c r="F206" s="167">
        <f t="shared" si="36"/>
        <v>21.260997067448663</v>
      </c>
      <c r="G206" s="170">
        <f t="shared" si="37"/>
        <v>23.494275759084093</v>
      </c>
      <c r="H206" s="166">
        <f t="shared" si="32"/>
        <v>1.2168480451430879</v>
      </c>
      <c r="I206" s="60"/>
    </row>
    <row r="207" spans="1:9" s="51" customFormat="1" ht="15" customHeight="1" x14ac:dyDescent="0.2">
      <c r="A207" s="15" t="str">
        <f>[93]Gasolina!A207</f>
        <v>SETEMBRO|16</v>
      </c>
      <c r="B207" s="171">
        <f>'[92]set-16'!$F$9</f>
        <v>2.5539999999999998</v>
      </c>
      <c r="C207" s="163">
        <f t="shared" si="33"/>
        <v>336.17058617058615</v>
      </c>
      <c r="D207" s="164">
        <f t="shared" si="34"/>
        <v>2.9423619508262888</v>
      </c>
      <c r="E207" s="164">
        <f t="shared" si="35"/>
        <v>-4.2010502625656425</v>
      </c>
      <c r="F207" s="167">
        <f t="shared" si="36"/>
        <v>22.494004796163015</v>
      </c>
      <c r="G207" s="170">
        <f t="shared" si="37"/>
        <v>27.318045862412777</v>
      </c>
      <c r="H207" s="166">
        <f t="shared" si="32"/>
        <v>1.1820673453406423</v>
      </c>
      <c r="I207" s="60"/>
    </row>
    <row r="208" spans="1:9" s="51" customFormat="1" ht="15" customHeight="1" x14ac:dyDescent="0.2">
      <c r="A208" s="15" t="str">
        <f>[93]Gasolina!A208</f>
        <v>OUTUBRO|16</v>
      </c>
      <c r="B208" s="171">
        <f>'[92]out-16'!$F$9</f>
        <v>2.7600000000000002</v>
      </c>
      <c r="C208" s="163">
        <f t="shared" si="33"/>
        <v>363.2853632853633</v>
      </c>
      <c r="D208" s="164">
        <f t="shared" si="34"/>
        <v>8.0657791699295434</v>
      </c>
      <c r="E208" s="164">
        <f t="shared" si="35"/>
        <v>3.5258814703676089</v>
      </c>
      <c r="F208" s="167">
        <f t="shared" si="36"/>
        <v>14.999999999999991</v>
      </c>
      <c r="G208" s="170">
        <f t="shared" si="37"/>
        <v>38.207310966449647</v>
      </c>
      <c r="H208" s="166">
        <f t="shared" si="32"/>
        <v>1.0938405797101449</v>
      </c>
      <c r="I208" s="60"/>
    </row>
    <row r="209" spans="1:9" s="51" customFormat="1" ht="15" customHeight="1" x14ac:dyDescent="0.2">
      <c r="A209" s="15" t="str">
        <f>[93]Gasolina!A209</f>
        <v>NOVEMBRO|16</v>
      </c>
      <c r="B209" s="171">
        <f>'[92]nov-16'!$F$9</f>
        <v>2.8159999999999994</v>
      </c>
      <c r="C209" s="163">
        <f t="shared" si="33"/>
        <v>370.65637065637065</v>
      </c>
      <c r="D209" s="164">
        <f t="shared" si="34"/>
        <v>2.0289855072463503</v>
      </c>
      <c r="E209" s="164">
        <f t="shared" si="35"/>
        <v>5.6264066016504133</v>
      </c>
      <c r="F209" s="167">
        <f t="shared" si="36"/>
        <v>7.0315469403268605</v>
      </c>
      <c r="G209" s="170">
        <f t="shared" si="37"/>
        <v>38.856015779092679</v>
      </c>
      <c r="H209" s="166">
        <f t="shared" si="32"/>
        <v>1.0720880681818186</v>
      </c>
      <c r="I209" s="60"/>
    </row>
    <row r="210" spans="1:9" s="51" customFormat="1" ht="15" customHeight="1" x14ac:dyDescent="0.2">
      <c r="A210" s="15" t="str">
        <f>[93]Gasolina!A210</f>
        <v>DEZEMBRO|16</v>
      </c>
      <c r="B210" s="171">
        <f>'[92]dez-16'!$F$9</f>
        <v>2.8440000000000003</v>
      </c>
      <c r="C210" s="163">
        <f t="shared" si="33"/>
        <v>374.34187434187442</v>
      </c>
      <c r="D210" s="164">
        <f t="shared" si="34"/>
        <v>0.99431818181821008</v>
      </c>
      <c r="E210" s="164">
        <f t="shared" si="35"/>
        <v>6.6766691672918377</v>
      </c>
      <c r="F210" s="167">
        <f t="shared" si="36"/>
        <v>6.6766691672918377</v>
      </c>
      <c r="G210" s="170">
        <f t="shared" si="37"/>
        <v>38.8671875</v>
      </c>
      <c r="H210" s="166">
        <f t="shared" si="32"/>
        <v>1.0615330520393811</v>
      </c>
      <c r="I210" s="60"/>
    </row>
    <row r="211" spans="1:9" s="51" customFormat="1" ht="15" customHeight="1" x14ac:dyDescent="0.2">
      <c r="A211" s="15" t="str">
        <f>[93]Gasolina!A211</f>
        <v>JANEIRO|17</v>
      </c>
      <c r="B211" s="171">
        <f>'[70]jan-17'!$F$9</f>
        <v>2.9289999999999994</v>
      </c>
      <c r="C211" s="163">
        <f t="shared" si="33"/>
        <v>385.53001053001049</v>
      </c>
      <c r="D211" s="164">
        <f t="shared" si="34"/>
        <v>2.9887482419127753</v>
      </c>
      <c r="E211" s="164">
        <f>100*(C211/$C$210-1)</f>
        <v>2.9887482419127753</v>
      </c>
      <c r="F211" s="167">
        <f t="shared" si="36"/>
        <v>5.5875991348233178</v>
      </c>
      <c r="G211" s="170">
        <f t="shared" si="37"/>
        <v>40.412272291466891</v>
      </c>
      <c r="H211" s="166">
        <f t="shared" si="32"/>
        <v>1.0307272106520999</v>
      </c>
      <c r="I211" s="60"/>
    </row>
    <row r="212" spans="1:9" s="51" customFormat="1" ht="15" customHeight="1" x14ac:dyDescent="0.2">
      <c r="A212" s="15" t="str">
        <f>Gasolina!A212</f>
        <v>FEVEREIRO|17</v>
      </c>
      <c r="B212" s="171">
        <f>'[70]fev-17'!$F$9</f>
        <v>2.8640000000000003</v>
      </c>
      <c r="C212" s="163">
        <f t="shared" ref="C212" si="38">100*B212/B$7</f>
        <v>376.97437697437704</v>
      </c>
      <c r="D212" s="164">
        <f t="shared" ref="D212" si="39">100*(B212/B211-1)</f>
        <v>-2.2191874359849484</v>
      </c>
      <c r="E212" s="164">
        <f>100*(C212/$C$210-1)</f>
        <v>0.70323488045007654</v>
      </c>
      <c r="F212" s="167">
        <f t="shared" ref="F212" si="40">(100*(C212/C200-1))</f>
        <v>1.1656658424584965</v>
      </c>
      <c r="G212" s="170">
        <f t="shared" ref="G212" si="41">100*(C212/C188-1)</f>
        <v>27.857142857142847</v>
      </c>
      <c r="H212" s="166">
        <f t="shared" si="32"/>
        <v>1.0541201117318435</v>
      </c>
      <c r="I212" s="60"/>
    </row>
    <row r="213" spans="1:9" s="51" customFormat="1" ht="15" customHeight="1" x14ac:dyDescent="0.2">
      <c r="A213" s="15" t="str">
        <f>Gasolina!A213</f>
        <v>MARÇO|17</v>
      </c>
      <c r="B213" s="171">
        <f>'[70]mar-17'!$F$9</f>
        <v>2.7040000000000002</v>
      </c>
      <c r="C213" s="163">
        <f t="shared" ref="C213:C214" si="42">100*B213/B$7</f>
        <v>355.91435591435601</v>
      </c>
      <c r="D213" s="164">
        <f t="shared" ref="D213:D214" si="43">100*(B213/B212-1)</f>
        <v>-5.5865921787709549</v>
      </c>
      <c r="E213" s="164">
        <f t="shared" ref="E213:E214" si="44">100*(C213/$C$210-1)</f>
        <v>-4.9226441631504914</v>
      </c>
      <c r="F213" s="167">
        <f t="shared" ref="F213:F214" si="45">(100*(C213/C201-1))</f>
        <v>-6.0458651841556517</v>
      </c>
      <c r="G213" s="170">
        <f t="shared" ref="G213:G214" si="46">100*(C213/C189-1)</f>
        <v>22.131887985546527</v>
      </c>
      <c r="H213" s="166">
        <f t="shared" si="32"/>
        <v>1.1164940828402368</v>
      </c>
      <c r="I213" s="60"/>
    </row>
    <row r="214" spans="1:9" s="51" customFormat="1" ht="15" customHeight="1" x14ac:dyDescent="0.2">
      <c r="A214" s="15" t="str">
        <f>Gasolina!A214</f>
        <v>ABRIL|17</v>
      </c>
      <c r="B214" s="171">
        <f>'[70]abr-17'!$F$9</f>
        <v>2.6149999999999998</v>
      </c>
      <c r="C214" s="163">
        <f t="shared" si="42"/>
        <v>344.19971919971925</v>
      </c>
      <c r="D214" s="164">
        <f t="shared" si="43"/>
        <v>-3.2914201183432135</v>
      </c>
      <c r="E214" s="164">
        <f t="shared" si="44"/>
        <v>-8.0520393811533086</v>
      </c>
      <c r="F214" s="167">
        <f t="shared" si="45"/>
        <v>-0.2669717772692537</v>
      </c>
      <c r="G214" s="170">
        <f t="shared" si="46"/>
        <v>20.174632352941167</v>
      </c>
      <c r="H214" s="166">
        <f t="shared" si="32"/>
        <v>1.1544933078393882</v>
      </c>
      <c r="I214" s="60"/>
    </row>
    <row r="215" spans="1:9" s="51" customFormat="1" ht="15" customHeight="1" x14ac:dyDescent="0.2">
      <c r="A215" s="15" t="str">
        <f>Gasolina!A215</f>
        <v>MAIO|17</v>
      </c>
      <c r="B215" s="171">
        <f>'[70]mai-17'!$F$9</f>
        <v>2.5680000000000001</v>
      </c>
      <c r="C215" s="163">
        <f t="shared" ref="C215:C216" si="47">100*B215/B$7</f>
        <v>338.01333801333806</v>
      </c>
      <c r="D215" s="164">
        <f t="shared" ref="D215:D216" si="48">100*(B215/B214-1)</f>
        <v>-1.7973231357552466</v>
      </c>
      <c r="E215" s="164">
        <f t="shared" ref="E215:E216" si="49">100*(C215/$C$210-1)</f>
        <v>-9.7046413502109736</v>
      </c>
      <c r="F215" s="167">
        <f t="shared" ref="F215:F216" si="50">(100*(C215/C203-1))</f>
        <v>5.853256389117889</v>
      </c>
      <c r="G215" s="170">
        <f t="shared" ref="G215:G216" si="51">100*(C215/C191-1)</f>
        <v>20.337394564198718</v>
      </c>
      <c r="H215" s="166">
        <f t="shared" si="32"/>
        <v>1.1756230529595015</v>
      </c>
      <c r="I215" s="60"/>
    </row>
    <row r="216" spans="1:9" s="51" customFormat="1" ht="15" customHeight="1" x14ac:dyDescent="0.2">
      <c r="A216" s="15" t="str">
        <f>Gasolina!A216</f>
        <v>JUNHO|17</v>
      </c>
      <c r="B216" s="171">
        <f>'[70]jun-17'!$F$9</f>
        <v>2.4510000000000001</v>
      </c>
      <c r="C216" s="163">
        <f t="shared" si="47"/>
        <v>322.61319761319766</v>
      </c>
      <c r="D216" s="164">
        <f t="shared" si="48"/>
        <v>-4.5560747663551453</v>
      </c>
      <c r="E216" s="164">
        <f t="shared" si="49"/>
        <v>-13.818565400843886</v>
      </c>
      <c r="F216" s="167">
        <f t="shared" si="50"/>
        <v>-0.92966855295070205</v>
      </c>
      <c r="G216" s="170">
        <f t="shared" si="51"/>
        <v>16.492395437262374</v>
      </c>
      <c r="H216" s="166">
        <f t="shared" si="32"/>
        <v>1.2317421460628315</v>
      </c>
      <c r="I216" s="60"/>
    </row>
    <row r="217" spans="1:9" s="51" customFormat="1" ht="15" customHeight="1" x14ac:dyDescent="0.2">
      <c r="A217" s="15" t="str">
        <f>Gasolina!A217</f>
        <v>JULHO|17</v>
      </c>
      <c r="B217" s="171">
        <f>'[70]jul-17'!$F$9</f>
        <v>2.5920000000000001</v>
      </c>
      <c r="C217" s="163">
        <f t="shared" ref="C217" si="52">100*B217/B$7</f>
        <v>341.17234117234119</v>
      </c>
      <c r="D217" s="164">
        <f t="shared" ref="D217" si="53">100*(B217/B216-1)</f>
        <v>5.7527539779681724</v>
      </c>
      <c r="E217" s="164">
        <f t="shared" ref="E217" si="54">100*(C217/$C$210-1)</f>
        <v>-8.8607594936708995</v>
      </c>
      <c r="F217" s="167">
        <f t="shared" ref="F217" si="55">(100*(C217/C205-1))</f>
        <v>6.0122699386503164</v>
      </c>
      <c r="G217" s="170">
        <f t="shared" ref="G217" si="56">100*(C217/C193-1)</f>
        <v>24.316546762589898</v>
      </c>
      <c r="H217" s="166">
        <f t="shared" si="32"/>
        <v>1.1647376543209877</v>
      </c>
      <c r="I217" s="60"/>
    </row>
    <row r="218" spans="1:9" s="51" customFormat="1" ht="15" customHeight="1" x14ac:dyDescent="0.2">
      <c r="A218" s="15" t="str">
        <f>Gasolina!A218</f>
        <v>AGOSTO|17</v>
      </c>
      <c r="B218" s="171">
        <f>'[70]ago-17'!$F$9</f>
        <v>2.597</v>
      </c>
      <c r="C218" s="163">
        <f t="shared" ref="C218" si="57">100*B218/B$7</f>
        <v>341.83046683046683</v>
      </c>
      <c r="D218" s="164">
        <f t="shared" ref="D218" si="58">100*(B218/B217-1)</f>
        <v>0.19290123456789932</v>
      </c>
      <c r="E218" s="164">
        <f t="shared" ref="E218" si="59">100*(C218/$C$210-1)</f>
        <v>-8.684950773558386</v>
      </c>
      <c r="F218" s="167">
        <f t="shared" ref="F218" si="60">(100*(C218/C206-1))</f>
        <v>4.6755340588472638</v>
      </c>
      <c r="G218" s="170">
        <f t="shared" ref="G218" si="61">100*(C218/C194-1)</f>
        <v>26.930596285434994</v>
      </c>
      <c r="H218" s="166">
        <f t="shared" si="32"/>
        <v>1.162495186753947</v>
      </c>
      <c r="I218" s="60"/>
    </row>
    <row r="219" spans="1:9" s="51" customFormat="1" ht="15" customHeight="1" x14ac:dyDescent="0.2">
      <c r="A219" s="15" t="str">
        <f>Gasolina!A219</f>
        <v>SETEMBRO|17</v>
      </c>
      <c r="B219" s="171">
        <f>'[70]set-17'!$F$9</f>
        <v>2.637</v>
      </c>
      <c r="C219" s="163">
        <f t="shared" ref="C219" si="62">100*B219/B$7</f>
        <v>347.09547209547213</v>
      </c>
      <c r="D219" s="164">
        <f t="shared" ref="D219" si="63">100*(B219/B218-1)</f>
        <v>1.5402387370042403</v>
      </c>
      <c r="E219" s="164">
        <f t="shared" ref="E219" si="64">100*(C219/$C$210-1)</f>
        <v>-7.2784810126582329</v>
      </c>
      <c r="F219" s="167">
        <f t="shared" ref="F219" si="65">(100*(C219/C207-1))</f>
        <v>3.2498042286609463</v>
      </c>
      <c r="G219" s="170">
        <f t="shared" ref="G219" si="66">100*(C219/C195-1)</f>
        <v>26.47482014388487</v>
      </c>
      <c r="H219" s="166">
        <f t="shared" si="32"/>
        <v>1.1448615851346227</v>
      </c>
      <c r="I219" s="60"/>
    </row>
    <row r="220" spans="1:9" s="51" customFormat="1" ht="15" customHeight="1" x14ac:dyDescent="0.2">
      <c r="A220" s="15" t="str">
        <f>Gasolina!A220</f>
        <v>OUTUBRO|17</v>
      </c>
      <c r="B220" s="171">
        <f>'[70]out-17'!$F$9</f>
        <v>2.6810000000000005</v>
      </c>
      <c r="C220" s="163">
        <f t="shared" ref="C220" si="67">100*B220/B$7</f>
        <v>352.88697788697795</v>
      </c>
      <c r="D220" s="164">
        <f t="shared" ref="D220" si="68">100*(B220/B219-1)</f>
        <v>1.6685627607129438</v>
      </c>
      <c r="E220" s="164">
        <f t="shared" ref="E220" si="69">100*(C220/$C$210-1)</f>
        <v>-5.7313642756680716</v>
      </c>
      <c r="F220" s="167">
        <f t="shared" ref="F220" si="70">(100*(C220/C208-1))</f>
        <v>-2.8623188405797029</v>
      </c>
      <c r="G220" s="170">
        <f t="shared" ref="G220" si="71">100*(C220/C196-1)</f>
        <v>11.708333333333343</v>
      </c>
      <c r="H220" s="166">
        <f t="shared" si="32"/>
        <v>1.126072361059306</v>
      </c>
      <c r="I220" s="60"/>
    </row>
    <row r="221" spans="1:9" s="51" customFormat="1" ht="15" customHeight="1" x14ac:dyDescent="0.2">
      <c r="A221" s="15" t="str">
        <f>Gasolina!A221</f>
        <v>NOVEMBRO|17</v>
      </c>
      <c r="B221" s="171">
        <f>'[70]nov-17'!$F$9</f>
        <v>2.8120000000000003</v>
      </c>
      <c r="C221" s="163">
        <f t="shared" ref="C221" si="72">100*B221/B$7</f>
        <v>370.1298701298702</v>
      </c>
      <c r="D221" s="164">
        <f t="shared" ref="D221" si="73">100*(B221/B220-1)</f>
        <v>4.8862364789257651</v>
      </c>
      <c r="E221" s="164">
        <f t="shared" ref="E221" si="74">100*(C221/$C$210-1)</f>
        <v>-1.1251758087201136</v>
      </c>
      <c r="F221" s="167">
        <f t="shared" ref="F221" si="75">(100*(C221/C209-1))</f>
        <v>-0.14204545454543638</v>
      </c>
      <c r="G221" s="170">
        <f t="shared" ref="G221" si="76">100*(C221/C197-1)</f>
        <v>6.8795134929684698</v>
      </c>
      <c r="H221" s="166">
        <f t="shared" si="32"/>
        <v>1.0736130867709814</v>
      </c>
      <c r="I221" s="60"/>
    </row>
    <row r="222" spans="1:9" s="51" customFormat="1" ht="15" customHeight="1" x14ac:dyDescent="0.2">
      <c r="A222" s="15" t="str">
        <f>Gasolina!A222</f>
        <v>DEZEMBRO|17</v>
      </c>
      <c r="B222" s="171">
        <f>'[70]dez-17'!$F$9</f>
        <v>2.8270000000000004</v>
      </c>
      <c r="C222" s="163">
        <f t="shared" ref="C222" si="77">100*B222/B$7</f>
        <v>372.10424710424718</v>
      </c>
      <c r="D222" s="164">
        <f t="shared" ref="D222" si="78">100*(B222/B221-1)</f>
        <v>0.53342816500712154</v>
      </c>
      <c r="E222" s="164">
        <f t="shared" ref="E222" si="79">100*(C222/$C$210-1)</f>
        <v>-0.59774964838256173</v>
      </c>
      <c r="F222" s="167">
        <f t="shared" ref="F222" si="80">(100*(C222/C210-1))</f>
        <v>-0.59774964838256173</v>
      </c>
      <c r="G222" s="170">
        <f t="shared" ref="G222" si="81">100*(C222/C198-1)</f>
        <v>6.0390097524381403</v>
      </c>
      <c r="H222" s="166">
        <f t="shared" si="32"/>
        <v>1.0679165192783868</v>
      </c>
      <c r="I222" s="60"/>
    </row>
    <row r="223" spans="1:9" s="51" customFormat="1" ht="15" customHeight="1" x14ac:dyDescent="0.2">
      <c r="A223" s="15" t="str">
        <f>Gasolina!A223</f>
        <v>JANEIRO|18</v>
      </c>
      <c r="B223" s="171">
        <f>'[71]jan-18'!$F$9</f>
        <v>3.0019999999999993</v>
      </c>
      <c r="C223" s="163">
        <f t="shared" ref="C223" si="82">100*B223/B$7</f>
        <v>395.13864513864507</v>
      </c>
      <c r="D223" s="164">
        <f t="shared" ref="D223" si="83">100*(B223/B222-1)</f>
        <v>6.1903077467279521</v>
      </c>
      <c r="E223" s="164">
        <f t="shared" ref="E223" si="84">100*(C223/$C$210-1)</f>
        <v>5.5555555555555136</v>
      </c>
      <c r="F223" s="167">
        <f t="shared" ref="F223" si="85">(100*(C223/C211-1))</f>
        <v>2.4923181973369735</v>
      </c>
      <c r="G223" s="170">
        <f t="shared" ref="G223" si="86">100*(C223/C199-1)</f>
        <v>8.2191780821917462</v>
      </c>
      <c r="H223" s="166">
        <f t="shared" si="32"/>
        <v>1.0056628914057297</v>
      </c>
      <c r="I223" s="60"/>
    </row>
    <row r="224" spans="1:9" s="51" customFormat="1" ht="15" customHeight="1" x14ac:dyDescent="0.2">
      <c r="A224" s="15" t="str">
        <f>Gasolina!A224</f>
        <v>FEVEREIRO|18</v>
      </c>
      <c r="B224" s="171">
        <f>'[71]fev-18'!$F$9</f>
        <v>3.0270000000000006</v>
      </c>
      <c r="C224" s="163">
        <f t="shared" ref="C224:C225" si="87">100*B224/B$7</f>
        <v>398.42927342927351</v>
      </c>
      <c r="D224" s="164">
        <f t="shared" ref="D224:D225" si="88">100*(B224/B223-1)</f>
        <v>0.83277814790143623</v>
      </c>
      <c r="E224" s="164">
        <f t="shared" ref="E224:E225" si="89">100*(C224/$C$210-1)</f>
        <v>6.4345991561181481</v>
      </c>
      <c r="F224" s="167">
        <f t="shared" ref="F224:F225" si="90">(100*(C224/C212-1))</f>
        <v>5.6913407821229001</v>
      </c>
      <c r="G224" s="170">
        <f t="shared" ref="G224:G225" si="91">100*(C224/C200-1)</f>
        <v>6.9233486400565258</v>
      </c>
      <c r="H224" s="166">
        <f t="shared" si="32"/>
        <v>0.99735711925999326</v>
      </c>
      <c r="I224" s="60"/>
    </row>
    <row r="225" spans="1:12" s="51" customFormat="1" ht="15" customHeight="1" x14ac:dyDescent="0.2">
      <c r="A225" s="179" t="str">
        <f>Gasolina!A225</f>
        <v>MARÇO|18</v>
      </c>
      <c r="B225" s="188">
        <f>'[71]mar-18'!$F$9</f>
        <v>3.0479999999999996</v>
      </c>
      <c r="C225" s="189">
        <f t="shared" si="87"/>
        <v>401.19340119340114</v>
      </c>
      <c r="D225" s="190">
        <f t="shared" si="88"/>
        <v>0.69375619425169344</v>
      </c>
      <c r="E225" s="190">
        <f t="shared" si="89"/>
        <v>7.1729957805906741</v>
      </c>
      <c r="F225" s="191">
        <f t="shared" si="90"/>
        <v>12.721893491124225</v>
      </c>
      <c r="G225" s="192">
        <f t="shared" si="91"/>
        <v>5.9068797776233195</v>
      </c>
      <c r="H225" s="193">
        <f t="shared" si="32"/>
        <v>0.99048556430446211</v>
      </c>
      <c r="I225" s="60"/>
    </row>
    <row r="226" spans="1:12" s="51" customFormat="1" ht="15" customHeight="1" thickBot="1" x14ac:dyDescent="0.25">
      <c r="A226" s="144" t="str">
        <f>Gasolina!A226</f>
        <v>ABRIL|18</v>
      </c>
      <c r="B226" s="173">
        <v>3.0190000000000001</v>
      </c>
      <c r="C226" s="174">
        <f t="shared" ref="C226" si="92">100*B226/B$7</f>
        <v>397.37627237627248</v>
      </c>
      <c r="D226" s="175">
        <f t="shared" ref="D226" si="93">100*(B226/B225-1)</f>
        <v>-0.95144356955378928</v>
      </c>
      <c r="E226" s="175">
        <f t="shared" ref="E226" si="94">100*(C226/$C$210-1)</f>
        <v>6.1533052039381309</v>
      </c>
      <c r="F226" s="176">
        <f t="shared" ref="F226" si="95">(100*(C226/C214-1))</f>
        <v>15.449330783938819</v>
      </c>
      <c r="G226" s="177">
        <f t="shared" ref="G226" si="96">100*(C226/C202-1)</f>
        <v>15.141113653699477</v>
      </c>
      <c r="H226" s="178">
        <f t="shared" si="32"/>
        <v>1</v>
      </c>
      <c r="I226" s="60"/>
    </row>
    <row r="227" spans="1:12" s="51" customFormat="1" x14ac:dyDescent="0.2">
      <c r="A227" s="25" t="s">
        <v>311</v>
      </c>
      <c r="B227" s="83"/>
      <c r="C227" s="83"/>
      <c r="D227" s="84"/>
      <c r="E227" s="83"/>
      <c r="F227" s="83"/>
      <c r="G227" s="83"/>
      <c r="H227" s="83"/>
      <c r="I227" s="61"/>
      <c r="J227" s="61"/>
      <c r="K227" s="61"/>
      <c r="L227" s="61"/>
    </row>
    <row r="228" spans="1:12" s="51" customFormat="1" x14ac:dyDescent="0.2">
      <c r="A228" s="25" t="s">
        <v>310</v>
      </c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</row>
    <row r="229" spans="1:12" s="51" customFormat="1" x14ac:dyDescent="0.2"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</row>
    <row r="230" spans="1:12" s="51" customFormat="1" x14ac:dyDescent="0.2"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</row>
    <row r="231" spans="1:12" s="51" customFormat="1" x14ac:dyDescent="0.2"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</row>
    <row r="232" spans="1:12" s="51" customFormat="1" x14ac:dyDescent="0.2"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</row>
    <row r="233" spans="1:12" s="51" customFormat="1" x14ac:dyDescent="0.2"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</row>
    <row r="234" spans="1:12" s="51" customFormat="1" x14ac:dyDescent="0.2"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</row>
    <row r="235" spans="1:12" s="51" customFormat="1" x14ac:dyDescent="0.2"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</row>
    <row r="236" spans="1:12" s="51" customFormat="1" x14ac:dyDescent="0.2"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</row>
    <row r="237" spans="1:12" s="51" customFormat="1" x14ac:dyDescent="0.2"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</row>
    <row r="238" spans="1:12" s="51" customFormat="1" x14ac:dyDescent="0.2"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</row>
    <row r="239" spans="1:12" s="51" customFormat="1" x14ac:dyDescent="0.2"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</row>
    <row r="240" spans="1:12" s="51" customFormat="1" x14ac:dyDescent="0.2"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</row>
    <row r="241" spans="2:12" s="51" customFormat="1" x14ac:dyDescent="0.2"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</row>
    <row r="242" spans="2:12" s="51" customFormat="1" x14ac:dyDescent="0.2"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</row>
    <row r="243" spans="2:12" s="51" customFormat="1" x14ac:dyDescent="0.2"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</row>
    <row r="244" spans="2:12" s="51" customFormat="1" x14ac:dyDescent="0.2"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</row>
    <row r="245" spans="2:12" s="51" customFormat="1" x14ac:dyDescent="0.2"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</row>
    <row r="246" spans="2:12" s="51" customFormat="1" x14ac:dyDescent="0.2"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</row>
    <row r="247" spans="2:12" s="51" customFormat="1" x14ac:dyDescent="0.2"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</row>
    <row r="248" spans="2:12" s="51" customFormat="1" x14ac:dyDescent="0.2"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</row>
    <row r="249" spans="2:12" s="51" customFormat="1" x14ac:dyDescent="0.2"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</row>
    <row r="250" spans="2:12" s="51" customFormat="1" x14ac:dyDescent="0.2"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</row>
    <row r="251" spans="2:12" s="51" customFormat="1" x14ac:dyDescent="0.2"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</row>
    <row r="252" spans="2:12" s="51" customFormat="1" x14ac:dyDescent="0.2"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</row>
    <row r="253" spans="2:12" s="51" customFormat="1" x14ac:dyDescent="0.2"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</row>
    <row r="254" spans="2:12" s="51" customFormat="1" x14ac:dyDescent="0.2"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</row>
    <row r="255" spans="2:12" s="51" customFormat="1" x14ac:dyDescent="0.2"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</row>
    <row r="256" spans="2:12" s="51" customFormat="1" x14ac:dyDescent="0.2"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</row>
    <row r="257" spans="2:12" s="51" customFormat="1" x14ac:dyDescent="0.2"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</row>
    <row r="258" spans="2:12" s="51" customFormat="1" x14ac:dyDescent="0.2"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</row>
    <row r="259" spans="2:12" s="51" customFormat="1" x14ac:dyDescent="0.2"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</row>
    <row r="260" spans="2:12" s="51" customFormat="1" x14ac:dyDescent="0.2"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</row>
    <row r="261" spans="2:12" s="51" customFormat="1" x14ac:dyDescent="0.2"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</row>
    <row r="262" spans="2:12" s="51" customFormat="1" x14ac:dyDescent="0.2"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</row>
    <row r="263" spans="2:12" s="51" customFormat="1" x14ac:dyDescent="0.2"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</row>
    <row r="264" spans="2:12" s="51" customFormat="1" x14ac:dyDescent="0.2"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</row>
    <row r="265" spans="2:12" s="51" customFormat="1" x14ac:dyDescent="0.2"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</row>
    <row r="266" spans="2:12" s="51" customFormat="1" x14ac:dyDescent="0.2"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</row>
    <row r="267" spans="2:12" s="51" customFormat="1" x14ac:dyDescent="0.2"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</row>
    <row r="268" spans="2:12" s="51" customFormat="1" x14ac:dyDescent="0.2"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</row>
    <row r="269" spans="2:12" s="51" customFormat="1" x14ac:dyDescent="0.2"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</row>
    <row r="270" spans="2:12" s="51" customFormat="1" x14ac:dyDescent="0.2"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</row>
    <row r="271" spans="2:12" s="51" customFormat="1" x14ac:dyDescent="0.2"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</row>
    <row r="272" spans="2:12" s="51" customFormat="1" x14ac:dyDescent="0.2"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</row>
    <row r="273" spans="2:12" s="51" customFormat="1" x14ac:dyDescent="0.2"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</row>
    <row r="274" spans="2:12" s="51" customFormat="1" x14ac:dyDescent="0.2"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</row>
    <row r="275" spans="2:12" s="51" customFormat="1" x14ac:dyDescent="0.2"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</row>
    <row r="276" spans="2:12" s="51" customFormat="1" x14ac:dyDescent="0.2"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</row>
    <row r="277" spans="2:12" s="51" customFormat="1" x14ac:dyDescent="0.2"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</row>
    <row r="278" spans="2:12" s="51" customFormat="1" x14ac:dyDescent="0.2"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</row>
    <row r="279" spans="2:12" s="51" customFormat="1" x14ac:dyDescent="0.2"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</row>
    <row r="280" spans="2:12" s="51" customFormat="1" x14ac:dyDescent="0.2"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</row>
    <row r="281" spans="2:12" s="51" customFormat="1" x14ac:dyDescent="0.2"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</row>
    <row r="282" spans="2:12" s="51" customFormat="1" x14ac:dyDescent="0.2"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</row>
    <row r="283" spans="2:12" s="51" customFormat="1" x14ac:dyDescent="0.2"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</row>
    <row r="284" spans="2:12" s="51" customFormat="1" x14ac:dyDescent="0.2"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</row>
    <row r="285" spans="2:12" s="51" customFormat="1" x14ac:dyDescent="0.2"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</row>
    <row r="286" spans="2:12" s="51" customFormat="1" x14ac:dyDescent="0.2"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</row>
    <row r="287" spans="2:12" s="51" customFormat="1" x14ac:dyDescent="0.2"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</row>
    <row r="288" spans="2:12" s="51" customFormat="1" x14ac:dyDescent="0.2"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</row>
    <row r="289" spans="2:12" s="51" customFormat="1" x14ac:dyDescent="0.2"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</row>
    <row r="290" spans="2:12" s="51" customFormat="1" x14ac:dyDescent="0.2"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</row>
    <row r="291" spans="2:12" s="51" customFormat="1" x14ac:dyDescent="0.2"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</row>
    <row r="292" spans="2:12" s="51" customFormat="1" x14ac:dyDescent="0.2"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</row>
    <row r="293" spans="2:12" s="51" customFormat="1" x14ac:dyDescent="0.2"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</row>
    <row r="294" spans="2:12" s="51" customFormat="1" x14ac:dyDescent="0.2"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</row>
    <row r="295" spans="2:12" s="51" customFormat="1" x14ac:dyDescent="0.2"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</row>
    <row r="296" spans="2:12" s="51" customFormat="1" x14ac:dyDescent="0.2"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</row>
    <row r="297" spans="2:12" s="51" customFormat="1" x14ac:dyDescent="0.2"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</row>
    <row r="298" spans="2:12" s="51" customFormat="1" x14ac:dyDescent="0.2"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</row>
    <row r="299" spans="2:12" s="51" customFormat="1" x14ac:dyDescent="0.2"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</row>
    <row r="300" spans="2:12" s="51" customFormat="1" x14ac:dyDescent="0.2"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</row>
    <row r="301" spans="2:12" s="51" customFormat="1" x14ac:dyDescent="0.2"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</row>
    <row r="302" spans="2:12" s="51" customFormat="1" x14ac:dyDescent="0.2"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</row>
    <row r="303" spans="2:12" s="51" customFormat="1" x14ac:dyDescent="0.2"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</row>
    <row r="304" spans="2:12" s="51" customFormat="1" x14ac:dyDescent="0.2"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</row>
    <row r="305" spans="2:12" s="51" customFormat="1" x14ac:dyDescent="0.2"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</row>
    <row r="306" spans="2:12" s="51" customFormat="1" x14ac:dyDescent="0.2"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</row>
    <row r="307" spans="2:12" s="51" customFormat="1" x14ac:dyDescent="0.2"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</row>
    <row r="308" spans="2:12" s="51" customFormat="1" x14ac:dyDescent="0.2"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</row>
    <row r="309" spans="2:12" s="51" customFormat="1" x14ac:dyDescent="0.2"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</row>
    <row r="310" spans="2:12" s="51" customFormat="1" x14ac:dyDescent="0.2"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</row>
    <row r="311" spans="2:12" s="51" customFormat="1" x14ac:dyDescent="0.2"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</row>
    <row r="312" spans="2:12" s="51" customFormat="1" x14ac:dyDescent="0.2"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</row>
    <row r="313" spans="2:12" s="51" customFormat="1" x14ac:dyDescent="0.2"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</row>
    <row r="314" spans="2:12" s="51" customFormat="1" x14ac:dyDescent="0.2"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</row>
    <row r="315" spans="2:12" s="51" customFormat="1" x14ac:dyDescent="0.2"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</row>
    <row r="316" spans="2:12" s="51" customFormat="1" x14ac:dyDescent="0.2"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</row>
    <row r="317" spans="2:12" s="51" customFormat="1" x14ac:dyDescent="0.2"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</row>
    <row r="318" spans="2:12" s="51" customFormat="1" x14ac:dyDescent="0.2"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</row>
    <row r="319" spans="2:12" s="51" customFormat="1" x14ac:dyDescent="0.2"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</row>
    <row r="320" spans="2:12" s="51" customFormat="1" x14ac:dyDescent="0.2"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</row>
    <row r="321" spans="2:12" s="51" customFormat="1" x14ac:dyDescent="0.2"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</row>
    <row r="322" spans="2:12" s="51" customFormat="1" x14ac:dyDescent="0.2"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</row>
    <row r="323" spans="2:12" s="51" customFormat="1" x14ac:dyDescent="0.2"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</row>
    <row r="324" spans="2:12" s="51" customFormat="1" x14ac:dyDescent="0.2"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</row>
    <row r="325" spans="2:12" s="51" customFormat="1" x14ac:dyDescent="0.2"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</row>
    <row r="326" spans="2:12" s="51" customFormat="1" x14ac:dyDescent="0.2"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</row>
    <row r="327" spans="2:12" s="51" customFormat="1" x14ac:dyDescent="0.2"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</row>
    <row r="328" spans="2:12" s="51" customFormat="1" x14ac:dyDescent="0.2"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</row>
    <row r="329" spans="2:12" s="51" customFormat="1" x14ac:dyDescent="0.2"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</row>
    <row r="330" spans="2:12" s="51" customFormat="1" x14ac:dyDescent="0.2"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</row>
    <row r="331" spans="2:12" s="51" customFormat="1" x14ac:dyDescent="0.2"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</row>
    <row r="332" spans="2:12" s="51" customFormat="1" x14ac:dyDescent="0.2"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</row>
    <row r="333" spans="2:12" s="51" customFormat="1" x14ac:dyDescent="0.2"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</row>
    <row r="334" spans="2:12" s="51" customFormat="1" x14ac:dyDescent="0.2"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</row>
    <row r="335" spans="2:12" s="51" customFormat="1" x14ac:dyDescent="0.2"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</row>
    <row r="336" spans="2:12" s="51" customFormat="1" x14ac:dyDescent="0.2"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</row>
    <row r="337" spans="2:12" s="51" customFormat="1" x14ac:dyDescent="0.2"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</row>
    <row r="338" spans="2:12" s="51" customFormat="1" x14ac:dyDescent="0.2"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</row>
    <row r="339" spans="2:12" s="51" customFormat="1" x14ac:dyDescent="0.2"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</row>
    <row r="340" spans="2:12" s="51" customFormat="1" x14ac:dyDescent="0.2"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</row>
    <row r="341" spans="2:12" s="51" customFormat="1" x14ac:dyDescent="0.2"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</row>
    <row r="342" spans="2:12" s="51" customFormat="1" x14ac:dyDescent="0.2"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</row>
    <row r="343" spans="2:12" s="51" customFormat="1" x14ac:dyDescent="0.2"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</row>
    <row r="344" spans="2:12" s="51" customFormat="1" x14ac:dyDescent="0.2"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</row>
    <row r="345" spans="2:12" s="51" customFormat="1" x14ac:dyDescent="0.2"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</row>
    <row r="346" spans="2:12" s="51" customFormat="1" x14ac:dyDescent="0.2"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</row>
    <row r="347" spans="2:12" s="51" customFormat="1" x14ac:dyDescent="0.2"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</row>
    <row r="348" spans="2:12" s="51" customFormat="1" x14ac:dyDescent="0.2"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</row>
    <row r="349" spans="2:12" s="51" customFormat="1" x14ac:dyDescent="0.2"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</row>
    <row r="350" spans="2:12" s="51" customFormat="1" x14ac:dyDescent="0.2"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</row>
    <row r="351" spans="2:12" s="51" customFormat="1" x14ac:dyDescent="0.2"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</row>
    <row r="352" spans="2:12" s="51" customFormat="1" x14ac:dyDescent="0.2"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</row>
    <row r="353" spans="2:12" s="51" customFormat="1" x14ac:dyDescent="0.2"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</row>
    <row r="354" spans="2:12" s="51" customFormat="1" x14ac:dyDescent="0.2"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</row>
    <row r="355" spans="2:12" s="51" customFormat="1" x14ac:dyDescent="0.2"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</row>
    <row r="356" spans="2:12" s="51" customFormat="1" x14ac:dyDescent="0.2"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</row>
    <row r="357" spans="2:12" s="51" customFormat="1" x14ac:dyDescent="0.2"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</row>
    <row r="358" spans="2:12" s="51" customFormat="1" x14ac:dyDescent="0.2"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</row>
    <row r="359" spans="2:12" s="51" customFormat="1" x14ac:dyDescent="0.2"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</row>
    <row r="360" spans="2:12" s="51" customFormat="1" x14ac:dyDescent="0.2"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</row>
    <row r="361" spans="2:12" s="51" customFormat="1" x14ac:dyDescent="0.2"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</row>
    <row r="362" spans="2:12" s="51" customFormat="1" x14ac:dyDescent="0.2"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</row>
    <row r="363" spans="2:12" s="51" customFormat="1" x14ac:dyDescent="0.2"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</row>
    <row r="364" spans="2:12" s="51" customFormat="1" x14ac:dyDescent="0.2"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</row>
    <row r="365" spans="2:12" s="51" customFormat="1" x14ac:dyDescent="0.2"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</row>
    <row r="366" spans="2:12" s="51" customFormat="1" x14ac:dyDescent="0.2"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</row>
    <row r="367" spans="2:12" s="51" customFormat="1" x14ac:dyDescent="0.2"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</row>
    <row r="368" spans="2:12" s="51" customFormat="1" x14ac:dyDescent="0.2"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</row>
    <row r="369" spans="2:12" s="51" customFormat="1" x14ac:dyDescent="0.2"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</row>
    <row r="370" spans="2:12" s="51" customFormat="1" x14ac:dyDescent="0.2"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</row>
    <row r="371" spans="2:12" s="51" customFormat="1" x14ac:dyDescent="0.2"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</row>
    <row r="372" spans="2:12" s="51" customFormat="1" x14ac:dyDescent="0.2"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</row>
    <row r="373" spans="2:12" s="51" customFormat="1" x14ac:dyDescent="0.2"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</row>
    <row r="374" spans="2:12" s="51" customFormat="1" x14ac:dyDescent="0.2"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</row>
    <row r="375" spans="2:12" s="51" customFormat="1" x14ac:dyDescent="0.2"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</row>
    <row r="376" spans="2:12" s="51" customFormat="1" x14ac:dyDescent="0.2"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</row>
    <row r="377" spans="2:12" s="51" customFormat="1" x14ac:dyDescent="0.2"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</row>
    <row r="378" spans="2:12" s="51" customFormat="1" x14ac:dyDescent="0.2"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</row>
    <row r="379" spans="2:12" s="51" customFormat="1" x14ac:dyDescent="0.2"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</row>
    <row r="380" spans="2:12" s="51" customFormat="1" x14ac:dyDescent="0.2"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</row>
    <row r="381" spans="2:12" s="51" customFormat="1" x14ac:dyDescent="0.2"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</row>
    <row r="382" spans="2:12" s="51" customFormat="1" x14ac:dyDescent="0.2"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</row>
    <row r="383" spans="2:12" s="51" customFormat="1" x14ac:dyDescent="0.2"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</row>
    <row r="384" spans="2:12" s="51" customFormat="1" x14ac:dyDescent="0.2"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</row>
    <row r="385" spans="2:12" s="51" customFormat="1" x14ac:dyDescent="0.2"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</row>
    <row r="386" spans="2:12" s="51" customFormat="1" x14ac:dyDescent="0.2"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</row>
    <row r="387" spans="2:12" s="51" customFormat="1" x14ac:dyDescent="0.2"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</row>
    <row r="388" spans="2:12" s="51" customFormat="1" x14ac:dyDescent="0.2"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</row>
    <row r="389" spans="2:12" s="51" customFormat="1" x14ac:dyDescent="0.2"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</row>
    <row r="390" spans="2:12" s="51" customFormat="1" x14ac:dyDescent="0.2"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</row>
    <row r="391" spans="2:12" s="51" customFormat="1" x14ac:dyDescent="0.2"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</row>
    <row r="392" spans="2:12" s="51" customFormat="1" x14ac:dyDescent="0.2"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</row>
    <row r="393" spans="2:12" s="51" customFormat="1" x14ac:dyDescent="0.2"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</row>
    <row r="394" spans="2:12" s="51" customFormat="1" x14ac:dyDescent="0.2"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</row>
    <row r="395" spans="2:12" s="51" customFormat="1" x14ac:dyDescent="0.2"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</row>
    <row r="396" spans="2:12" s="51" customFormat="1" x14ac:dyDescent="0.2"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</row>
    <row r="397" spans="2:12" s="51" customFormat="1" x14ac:dyDescent="0.2"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</row>
    <row r="398" spans="2:12" s="51" customFormat="1" x14ac:dyDescent="0.2"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</row>
    <row r="399" spans="2:12" s="51" customFormat="1" x14ac:dyDescent="0.2"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</row>
    <row r="400" spans="2:12" s="51" customFormat="1" x14ac:dyDescent="0.2"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</row>
    <row r="401" spans="2:12" s="51" customFormat="1" x14ac:dyDescent="0.2"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</row>
    <row r="402" spans="2:12" s="51" customFormat="1" x14ac:dyDescent="0.2"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</row>
    <row r="403" spans="2:12" s="51" customFormat="1" x14ac:dyDescent="0.2"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</row>
    <row r="404" spans="2:12" s="51" customFormat="1" x14ac:dyDescent="0.2"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</row>
    <row r="405" spans="2:12" s="51" customFormat="1" x14ac:dyDescent="0.2"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</row>
    <row r="406" spans="2:12" s="51" customFormat="1" x14ac:dyDescent="0.2"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</row>
    <row r="407" spans="2:12" s="51" customFormat="1" x14ac:dyDescent="0.2"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</row>
    <row r="408" spans="2:12" s="51" customFormat="1" x14ac:dyDescent="0.2"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</row>
    <row r="409" spans="2:12" s="51" customFormat="1" x14ac:dyDescent="0.2"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</row>
    <row r="410" spans="2:12" s="51" customFormat="1" x14ac:dyDescent="0.2"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</row>
    <row r="411" spans="2:12" s="51" customFormat="1" x14ac:dyDescent="0.2"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</row>
    <row r="412" spans="2:12" s="51" customFormat="1" x14ac:dyDescent="0.2"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</row>
    <row r="413" spans="2:12" s="51" customFormat="1" x14ac:dyDescent="0.2"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</row>
    <row r="414" spans="2:12" s="51" customFormat="1" x14ac:dyDescent="0.2"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</row>
    <row r="415" spans="2:12" s="51" customFormat="1" x14ac:dyDescent="0.2"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</row>
    <row r="416" spans="2:12" s="51" customFormat="1" x14ac:dyDescent="0.2"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</row>
    <row r="417" spans="2:12" s="51" customFormat="1" x14ac:dyDescent="0.2"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</row>
    <row r="418" spans="2:12" s="51" customFormat="1" x14ac:dyDescent="0.2"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</row>
    <row r="419" spans="2:12" s="51" customFormat="1" x14ac:dyDescent="0.2"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</row>
    <row r="420" spans="2:12" s="51" customFormat="1" x14ac:dyDescent="0.2"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</row>
    <row r="421" spans="2:12" s="51" customFormat="1" x14ac:dyDescent="0.2"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</row>
    <row r="422" spans="2:12" s="51" customFormat="1" x14ac:dyDescent="0.2"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</row>
    <row r="423" spans="2:12" s="51" customFormat="1" x14ac:dyDescent="0.2"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</row>
    <row r="424" spans="2:12" s="51" customFormat="1" x14ac:dyDescent="0.2"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</row>
    <row r="425" spans="2:12" s="51" customFormat="1" x14ac:dyDescent="0.2"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</row>
    <row r="426" spans="2:12" s="51" customFormat="1" x14ac:dyDescent="0.2"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</row>
    <row r="427" spans="2:12" s="51" customFormat="1" x14ac:dyDescent="0.2"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</row>
    <row r="428" spans="2:12" s="51" customFormat="1" x14ac:dyDescent="0.2"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</row>
    <row r="429" spans="2:12" s="51" customFormat="1" x14ac:dyDescent="0.2"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</row>
    <row r="430" spans="2:12" s="51" customFormat="1" x14ac:dyDescent="0.2"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</row>
    <row r="431" spans="2:12" s="51" customFormat="1" x14ac:dyDescent="0.2"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</row>
    <row r="432" spans="2:12" s="51" customFormat="1" x14ac:dyDescent="0.2"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</row>
    <row r="433" spans="2:12" s="51" customFormat="1" x14ac:dyDescent="0.2"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</row>
    <row r="434" spans="2:12" s="51" customFormat="1" x14ac:dyDescent="0.2"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</row>
    <row r="435" spans="2:12" s="51" customFormat="1" x14ac:dyDescent="0.2"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</row>
    <row r="436" spans="2:12" s="51" customFormat="1" x14ac:dyDescent="0.2"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</row>
    <row r="437" spans="2:12" s="51" customFormat="1" x14ac:dyDescent="0.2"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</row>
    <row r="438" spans="2:12" s="51" customFormat="1" x14ac:dyDescent="0.2"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</row>
    <row r="439" spans="2:12" s="51" customFormat="1" x14ac:dyDescent="0.2"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</row>
    <row r="440" spans="2:12" s="51" customFormat="1" x14ac:dyDescent="0.2"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</row>
    <row r="441" spans="2:12" s="51" customFormat="1" x14ac:dyDescent="0.2"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</row>
    <row r="442" spans="2:12" s="51" customFormat="1" x14ac:dyDescent="0.2"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</row>
    <row r="443" spans="2:12" s="51" customFormat="1" x14ac:dyDescent="0.2"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</row>
    <row r="444" spans="2:12" s="51" customFormat="1" x14ac:dyDescent="0.2"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</row>
    <row r="445" spans="2:12" s="51" customFormat="1" x14ac:dyDescent="0.2"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</row>
    <row r="446" spans="2:12" s="51" customFormat="1" x14ac:dyDescent="0.2"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</row>
    <row r="447" spans="2:12" s="51" customFormat="1" x14ac:dyDescent="0.2"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</row>
    <row r="448" spans="2:12" s="51" customFormat="1" x14ac:dyDescent="0.2"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</row>
    <row r="449" spans="2:12" s="51" customFormat="1" x14ac:dyDescent="0.2"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</row>
    <row r="450" spans="2:12" s="51" customFormat="1" x14ac:dyDescent="0.2"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</row>
    <row r="451" spans="2:12" s="51" customFormat="1" x14ac:dyDescent="0.2"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</row>
    <row r="452" spans="2:12" s="51" customFormat="1" x14ac:dyDescent="0.2"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</row>
    <row r="453" spans="2:12" s="51" customFormat="1" x14ac:dyDescent="0.2"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</row>
    <row r="454" spans="2:12" s="51" customFormat="1" x14ac:dyDescent="0.2"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</row>
    <row r="455" spans="2:12" s="51" customFormat="1" x14ac:dyDescent="0.2"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</row>
    <row r="456" spans="2:12" s="51" customFormat="1" x14ac:dyDescent="0.2"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</row>
    <row r="457" spans="2:12" s="51" customFormat="1" x14ac:dyDescent="0.2"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</row>
    <row r="458" spans="2:12" s="51" customFormat="1" x14ac:dyDescent="0.2"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</row>
    <row r="459" spans="2:12" s="51" customFormat="1" x14ac:dyDescent="0.2"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</row>
    <row r="460" spans="2:12" s="51" customFormat="1" x14ac:dyDescent="0.2"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</row>
    <row r="461" spans="2:12" s="51" customFormat="1" x14ac:dyDescent="0.2"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</row>
    <row r="462" spans="2:12" s="51" customFormat="1" x14ac:dyDescent="0.2"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</row>
    <row r="463" spans="2:12" s="51" customFormat="1" x14ac:dyDescent="0.2"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</row>
    <row r="464" spans="2:12" s="51" customFormat="1" x14ac:dyDescent="0.2"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</row>
    <row r="465" spans="2:12" s="51" customFormat="1" x14ac:dyDescent="0.2"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</row>
    <row r="466" spans="2:12" s="51" customFormat="1" x14ac:dyDescent="0.2"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</row>
    <row r="467" spans="2:12" s="51" customFormat="1" x14ac:dyDescent="0.2"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</row>
    <row r="468" spans="2:12" s="51" customFormat="1" x14ac:dyDescent="0.2"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</row>
    <row r="469" spans="2:12" s="51" customFormat="1" x14ac:dyDescent="0.2"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</row>
    <row r="470" spans="2:12" s="51" customFormat="1" x14ac:dyDescent="0.2"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</row>
    <row r="471" spans="2:12" s="51" customFormat="1" x14ac:dyDescent="0.2"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</row>
    <row r="472" spans="2:12" s="51" customFormat="1" x14ac:dyDescent="0.2"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</row>
    <row r="473" spans="2:12" s="51" customFormat="1" x14ac:dyDescent="0.2"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</row>
    <row r="474" spans="2:12" s="51" customFormat="1" x14ac:dyDescent="0.2"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</row>
    <row r="475" spans="2:12" s="51" customFormat="1" x14ac:dyDescent="0.2"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</row>
    <row r="476" spans="2:12" s="51" customFormat="1" x14ac:dyDescent="0.2"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</row>
    <row r="477" spans="2:12" s="51" customFormat="1" x14ac:dyDescent="0.2"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</row>
    <row r="478" spans="2:12" s="51" customFormat="1" x14ac:dyDescent="0.2"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</row>
    <row r="479" spans="2:12" s="51" customFormat="1" x14ac:dyDescent="0.2"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</row>
    <row r="480" spans="2:12" s="51" customFormat="1" x14ac:dyDescent="0.2"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</row>
    <row r="481" spans="2:12" s="51" customFormat="1" x14ac:dyDescent="0.2"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</row>
    <row r="482" spans="2:12" s="51" customFormat="1" x14ac:dyDescent="0.2"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</row>
    <row r="483" spans="2:12" s="51" customFormat="1" x14ac:dyDescent="0.2"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</row>
    <row r="484" spans="2:12" s="51" customFormat="1" x14ac:dyDescent="0.2"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</row>
    <row r="485" spans="2:12" s="51" customFormat="1" x14ac:dyDescent="0.2"/>
  </sheetData>
  <mergeCells count="6">
    <mergeCell ref="A1:H2"/>
    <mergeCell ref="A3:C3"/>
    <mergeCell ref="D3:H3"/>
    <mergeCell ref="A4:C4"/>
    <mergeCell ref="D4:G4"/>
    <mergeCell ref="H4:H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5</vt:i4>
      </vt:variant>
    </vt:vector>
  </HeadingPairs>
  <TitlesOfParts>
    <vt:vector size="11" baseType="lpstr">
      <vt:lpstr>Painel</vt:lpstr>
      <vt:lpstr>Diesel_S500</vt:lpstr>
      <vt:lpstr>Diesel_S10</vt:lpstr>
      <vt:lpstr>ARLA_32</vt:lpstr>
      <vt:lpstr>Gasolina</vt:lpstr>
      <vt:lpstr>Etanol</vt:lpstr>
      <vt:lpstr>ARLA_32!Area_de_impressao</vt:lpstr>
      <vt:lpstr>Diesel_S10!Area_de_impressao</vt:lpstr>
      <vt:lpstr>Diesel_S500!Area_de_impressao</vt:lpstr>
      <vt:lpstr>Painel!Area_de_impressao</vt:lpstr>
      <vt:lpstr>Diesel_S500!Titulos_de_impressao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Fernando</cp:lastModifiedBy>
  <cp:lastPrinted>2017-11-30T16:25:55Z</cp:lastPrinted>
  <dcterms:created xsi:type="dcterms:W3CDTF">2015-04-27T18:00:46Z</dcterms:created>
  <dcterms:modified xsi:type="dcterms:W3CDTF">2018-04-18T18:30:26Z</dcterms:modified>
</cp:coreProperties>
</file>